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ssumptions" sheetId="1" state="visible" r:id="rId3"/>
    <sheet name="Historical Sizing" sheetId="2" state="visible" r:id="rId4"/>
    <sheet name="Forecast" sheetId="3" state="visible" r:id="rId5"/>
    <sheet name="Transition Scenarios" sheetId="4" state="visible" r:id="rId6"/>
  </sheets>
  <definedNames>
    <definedName function="false" hidden="true" localSheetId="0" name="_xlnm._FilterDatabase" vbProcedure="false">Assumptions!$B$24:$L$101</definedName>
    <definedName function="false" hidden="true" localSheetId="3" name="_xlnm._FilterDatabase" vbProcedure="false">'Transition Scenarios'!$A$5:$H$29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Halberd</author>
  </authors>
  <commentList>
    <comment ref="D58" authorId="0">
      <text>
        <r>
          <rPr>
            <sz val="10"/>
            <rFont val="Arial"/>
            <family val="2"/>
          </rPr>
          <t xml:space="preserve">This is the model calibration anchor. Remove/calibrate to 1.0 once detailed producer/channel revenue data is available.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49</xdr:colOff>
                <xdr:row>0</xdr:row>
                <xdr:rowOff>2</xdr:rowOff>
              </xdr:from>
              <xdr:to>
                <xdr:col>2</xdr:col>
                <xdr:colOff>-14</xdr:colOff>
                <xdr:row>2</xdr:row>
                <xdr:rowOff>1</xdr:rowOff>
              </xdr:to>
            </anchor>
          </commentPr>
        </mc:Choice>
        <mc:Fallback/>
      </mc:AlternateContent>
    </comment>
    <comment ref="D87" authorId="0">
      <text>
        <r>
          <rPr>
            <sz val="10"/>
            <rFont val="Arial"/>
            <family val="2"/>
          </rPr>
          <t xml:space="preserve">Sell-side IM claims NZ$8-10M; expert-derived capex implies roughly NZ$11-16M for Aurora's 244k colony birds.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49</xdr:colOff>
                <xdr:row>0</xdr:row>
                <xdr:rowOff>2</xdr:rowOff>
              </xdr:from>
              <xdr:to>
                <xdr:col>2</xdr:col>
                <xdr:colOff>-14</xdr:colOff>
                <xdr:row>2</xdr:row>
                <xdr:rowOff>1</xdr:rowOff>
              </xdr:to>
            </anchor>
          </commentPr>
        </mc:Choice>
        <mc:Fallback/>
      </mc:AlternateContent>
    </comment>
  </commentList>
</comments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Halberd</author>
  </authors>
  <commentList>
    <comment ref="B3" authorId="0">
      <text>
        <r>
          <rPr>
            <sz val="10"/>
            <rFont val="Arial"/>
            <family val="2"/>
          </rPr>
          <t xml:space="preserve">Dropdown: Base case / Upside tight supply / Downside delay. This drives system mix, FR premium and stranded-colony haircut.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2</xdr:row>
                <xdr:rowOff>1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Dropdown: Base / Downside / Upside plant-based displacement path from ACII Egg Addendum.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2</xdr:row>
                <xdr:rowOff>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<sst xmlns="http://schemas.openxmlformats.org/spreadsheetml/2006/main" count="663" uniqueCount="480">
  <si>
    <t xml:space="preserve">Project Albatross - NZ Egg Market Model</t>
  </si>
  <si>
    <t xml:space="preserve">Preliminary outside-in model for Aurora Eggs: historical sizing, 5-year forecast, cage-free transition scenarios and cost/supply sensitivities. Currency in NZD unless noted. Blue cells are refreshable assumptions; formulas are calculated on the other tabs.</t>
  </si>
  <si>
    <t xml:space="preserve">Visual convention and model scope</t>
  </si>
  <si>
    <t xml:space="preserve">Cell category</t>
  </si>
  <si>
    <t xml:space="preserve">Visual treatment</t>
  </si>
  <si>
    <t xml:space="preserve">Reviewer note</t>
  </si>
  <si>
    <t xml:space="preserve">Model scope</t>
  </si>
  <si>
    <t xml:space="preserve">Historical FY22A-FY25E; forecast FY26F-FY30F. FY25 is estimated because public/Aurora latest full actuals in the source pool are FY24. The workbook keeps both retail-shelf top-down and calibrated all-channel producer/channel-pool views so the top-down vs bottom-up gap is visible rather than hidden.</t>
  </si>
  <si>
    <t xml:space="preserve">Hardcoded input / assumption</t>
  </si>
  <si>
    <t xml:space="preserve">Blue font on light-blue fill</t>
  </si>
  <si>
    <t xml:space="preserve">Refresh as diligence arrives; source/vintage shown in Source column.</t>
  </si>
  <si>
    <t xml:space="preserve">Same-tab calculation</t>
  </si>
  <si>
    <t xml:space="preserve">Black font, no fill</t>
  </si>
  <si>
    <t xml:space="preserve">Formula references cells on same worksheet.</t>
  </si>
  <si>
    <t xml:space="preserve">Cross-sheet reference</t>
  </si>
  <si>
    <t xml:space="preserve">Green font</t>
  </si>
  <si>
    <t xml:space="preserve">Formula references another worksheet.</t>
  </si>
  <si>
    <t xml:space="preserve">Key output</t>
  </si>
  <si>
    <t xml:space="preserve">Bold on light-green fill</t>
  </si>
  <si>
    <t xml:space="preserve">Primary model output read by deal team.</t>
  </si>
  <si>
    <t xml:space="preserve">Source index used for refreshable assumptions</t>
  </si>
  <si>
    <t xml:space="preserve">Source / file</t>
  </si>
  <si>
    <t xml:space="preserve">Date / vintage</t>
  </si>
  <si>
    <t xml:space="preserve">Inputs used</t>
  </si>
  <si>
    <t xml:space="preserve">Reliability / caveat</t>
  </si>
  <si>
    <t xml:space="preserve">Aurora Eggs draft preliminary IM</t>
  </si>
  <si>
    <t xml:space="preserve">28 Feb 2026</t>
  </si>
  <si>
    <t xml:space="preserve">FY22-FY24 revenue/EBITDA/volume, sell-side FY25-FY30 revenue path, claimed capex and transition status</t>
  </si>
  <si>
    <t xml:space="preserve">Sell-side; must be pressure-tested</t>
  </si>
  <si>
    <t xml:space="preserve">Broker outreach + Halberd internal brief</t>
  </si>
  <si>
    <t xml:space="preserve">20 Apr / 4 May 2026</t>
  </si>
  <si>
    <t xml:space="preserve">610k layer hens, 40/30/30 production mix, ~70% retail, #2 share 17-19%</t>
  </si>
  <si>
    <t xml:space="preserve">Broker/internal screening; triangulate</t>
  </si>
  <si>
    <t xml:space="preserve">Calthorpe expert transcripts Parts 1-3, 4, 5, 7</t>
  </si>
  <si>
    <t xml:space="preserve">6-19 May 2026 / supplier annex 3 Jun 2026</t>
  </si>
  <si>
    <t xml:space="preserve">Flock, channel mix, premium path, conversion capex/timing, unit economics, input-cost sensitivities</t>
  </si>
  <si>
    <t xml:space="preserve">Expert view; source of current-era estimates</t>
  </si>
  <si>
    <t xml:space="preserve">EPFNZ / Marsden transcript</t>
  </si>
  <si>
    <t xml:space="preserve">7 May 2026</t>
  </si>
  <si>
    <t xml:space="preserve">229 eggs per capita, official 3.4-3.5M flock, 33/33/34 official mix, channel shares, Phase 2 framing</t>
  </si>
  <si>
    <t xml:space="preserve">Industry association; no company-level data</t>
  </si>
  <si>
    <t xml:space="preserve">ACII Wave 11 + Egg Addendum</t>
  </si>
  <si>
    <t xml:space="preserve">Feb-Mar 2026</t>
  </si>
  <si>
    <t xml:space="preserve">Per-capita forecast, dietary tailwinds, plant-based displacement, trade-down and WTP</t>
  </si>
  <si>
    <t xml:space="preserve">Consumer survey; commissioned cut</t>
  </si>
  <si>
    <t xml:space="preserve">RetailIQ NZ Q1 2026 scan</t>
  </si>
  <si>
    <t xml:space="preserve">1 Jan-31 Mar 2026</t>
  </si>
  <si>
    <t xml:space="preserve">Shelf prices, tier volumes within scan, own/cross elasticity</t>
  </si>
  <si>
    <t xml:space="preserve">Q1-only scan; use prices/elasticity, not sole sizing anchor</t>
  </si>
  <si>
    <t xml:space="preserve">NZ supermarket cage-free commitments summary</t>
  </si>
  <si>
    <t xml:space="preserve">Compiled Sep 2025</t>
  </si>
  <si>
    <t xml:space="preserve">Foodstuffs and Woolworths packaged shell-egg cage-free deadline end-2027</t>
  </si>
  <si>
    <t xml:space="preserve">Public commitments, private-sector not regulation</t>
  </si>
  <si>
    <t xml:space="preserve">Halberd central financial assumptions</t>
  </si>
  <si>
    <t xml:space="preserve">Apr 2026</t>
  </si>
  <si>
    <t xml:space="preserve">New Zealand CPI 2.7%</t>
  </si>
  <si>
    <t xml:space="preserve">House view, quarterly refresh</t>
  </si>
  <si>
    <t xml:space="preserve">Demand and channel assumptions</t>
  </si>
  <si>
    <t xml:space="preserve">Input</t>
  </si>
  <si>
    <t xml:space="preserve">Unit</t>
  </si>
  <si>
    <t xml:space="preserve">FY22A</t>
  </si>
  <si>
    <t xml:space="preserve">FY23A</t>
  </si>
  <si>
    <t xml:space="preserve">FY24A</t>
  </si>
  <si>
    <t xml:space="preserve">FY25E</t>
  </si>
  <si>
    <t xml:space="preserve">FY26F</t>
  </si>
  <si>
    <t xml:space="preserve">FY27F</t>
  </si>
  <si>
    <t xml:space="preserve">FY28F</t>
  </si>
  <si>
    <t xml:space="preserve">FY29F</t>
  </si>
  <si>
    <t xml:space="preserve">FY30F</t>
  </si>
  <si>
    <t xml:space="preserve">Source / vintage / note</t>
  </si>
  <si>
    <t xml:space="preserve">NZ population</t>
  </si>
  <si>
    <t xml:space="preserve">M people</t>
  </si>
  <si>
    <t xml:space="preserve">Per-capita egg consumption</t>
  </si>
  <si>
    <t xml:space="preserve">eggs/person/yr</t>
  </si>
  <si>
    <t xml:space="preserve">Plant-based displacement - Base</t>
  </si>
  <si>
    <t xml:space="preserve">% gross demand</t>
  </si>
  <si>
    <t xml:space="preserve">Plant-based displacement - Downside</t>
  </si>
  <si>
    <t xml:space="preserve">Plant-based displacement - Upside</t>
  </si>
  <si>
    <t xml:space="preserve">Retail grocery volume share</t>
  </si>
  <si>
    <t xml:space="preserve">% total volume</t>
  </si>
  <si>
    <t xml:space="preserve">Foodservice volume share</t>
  </si>
  <si>
    <t xml:space="preserve">Industrial volume share</t>
  </si>
  <si>
    <t xml:space="preserve">Direct / institutional / other share</t>
  </si>
  <si>
    <t xml:space="preserve">Production-system, price and sizing anchors</t>
  </si>
  <si>
    <t xml:space="preserve">Colony share</t>
  </si>
  <si>
    <t xml:space="preserve">% layer flock / volume</t>
  </si>
  <si>
    <t xml:space="preserve">Barn share</t>
  </si>
  <si>
    <t xml:space="preserve">FR commodity share</t>
  </si>
  <si>
    <t xml:space="preserve">Pasture / specialty share</t>
  </si>
  <si>
    <t xml:space="preserve">Avg retail shelf price - historical top-down</t>
  </si>
  <si>
    <t xml:space="preserve">NZ$/doz</t>
  </si>
  <si>
    <t xml:space="preserve">Point assumptions (base / low / high)</t>
  </si>
  <si>
    <t xml:space="preserve">Base</t>
  </si>
  <si>
    <t xml:space="preserve">Low / downside</t>
  </si>
  <si>
    <t xml:space="preserve">High / upside</t>
  </si>
  <si>
    <t xml:space="preserve">FY26 retail shelf price - colony</t>
  </si>
  <si>
    <t xml:space="preserve">Calthorpe Part 4 (13 May 2026): colony dozen retails ~NZ$5.40-5.80; midpoint NZ$5.60.</t>
  </si>
  <si>
    <t xml:space="preserve">FY26 retail shelf price - barn</t>
  </si>
  <si>
    <t xml:space="preserve">Calthorpe Part 4: barn dozen retails ~NZ$6.80-7.20; RetailIQ Q1 2026 supports NZ$7-8 shelf depending banner.</t>
  </si>
  <si>
    <t xml:space="preserve">FY26 retail shelf price - pasture/specialty</t>
  </si>
  <si>
    <t xml:space="preserve">RetailIQ NZ Q1 2026 scan: pasture-raised 1-doz packs around NZ$13.99-14.99; midpoint rounded.</t>
  </si>
  <si>
    <t xml:space="preserve">FY26 foodservice price - colony</t>
  </si>
  <si>
    <t xml:space="preserve">Calthorpe Part 4: foodservice barn gate NZ$3.80-4.20 plus distributor margin; colony/value product assumed at lower end.</t>
  </si>
  <si>
    <t xml:space="preserve">FY26 foodservice price - barn</t>
  </si>
  <si>
    <t xml:space="preserve">Calthorpe Part 4: producer gate NZ$3.80-4.20 + 12-18% distributor margin; midpoint channel price approx. NZ$4.60.</t>
  </si>
  <si>
    <t xml:space="preserve">FY26 industrial price - colony</t>
  </si>
  <si>
    <t xml:space="preserve">Calthorpe Part 4: industrial shell producer gate NZ$3.20-3.60/doz; colony/value assumed at midpoint.</t>
  </si>
  <si>
    <t xml:space="preserve">FY26 industrial price - barn</t>
  </si>
  <si>
    <t xml:space="preserve">Calthorpe Part 4 industrial shell range; barn assumed slight premium to colony.</t>
  </si>
  <si>
    <t xml:space="preserve">FY26 direct / DTC price - colony</t>
  </si>
  <si>
    <t xml:space="preserve">Deal-team estimate for farmgate/direct channel; direct is small residual, premium-weighted.</t>
  </si>
  <si>
    <t xml:space="preserve">FY26 direct / DTC price - barn</t>
  </si>
  <si>
    <t xml:space="preserve">Deal-team estimate cross-checked against RetailIQ Q1 2026 shelf price levels; low model weight.</t>
  </si>
  <si>
    <t xml:space="preserve">FY26 direct / DTC price - FR commodity</t>
  </si>
  <si>
    <t xml:space="preserve">Deal-team estimate; direct/free-range carries above-retail premium at farmgate/DTC specialty outlets.</t>
  </si>
  <si>
    <t xml:space="preserve">FY26 direct / DTC price - pasture/specialty</t>
  </si>
  <si>
    <t xml:space="preserve">RetailIQ Q1 2026 + ACII WTP; specialty premium is small but high-price.</t>
  </si>
  <si>
    <t xml:space="preserve">Annual price inflation / pass-through</t>
  </si>
  <si>
    <t xml:space="preserve">% pa</t>
  </si>
  <si>
    <t xml:space="preserve">Halberd central financial assumptions (Apr 2026): New Zealand CPI 2.7%; low/high sensitivity for input-cost pass-through.</t>
  </si>
  <si>
    <t xml:space="preserve">FY26 all-channel bottom-up anchor</t>
  </si>
  <si>
    <t xml:space="preserve">NZ$M</t>
  </si>
  <si>
    <t xml:space="preserve">Calthorpe Part 3 (11 May 2026): bottom-up production/channel value approx. NZ$535-545M; model calibrates raw price x volume to midpoint.</t>
  </si>
  <si>
    <t xml:space="preserve">FY24 retail top-down anchor</t>
  </si>
  <si>
    <t xml:space="preserve">Antipodean Agri research Q3 2025 / Calthorpe Part 3: NZ retail shell-egg market approx. NZ$455M for FY24.</t>
  </si>
  <si>
    <t xml:space="preserve">Top-down to all-channel uplift</t>
  </si>
  <si>
    <t xml:space="preserve">% retail value</t>
  </si>
  <si>
    <t xml:space="preserve">Calthorpe Part 3: bottom-up exceeds retail-only top-down by approx. 19%; gap is foodservice, industrial, own-use/institutional/direct.</t>
  </si>
  <si>
    <t xml:space="preserve">National layer flock - FY26 current</t>
  </si>
  <si>
    <t xml:space="preserve">M hens</t>
  </si>
  <si>
    <t xml:space="preserve">Calthorpe Part 1/2: current bottom-up 3.7-3.8M vs official MPI 3.4-3.5M; use 3.75M central.</t>
  </si>
  <si>
    <t xml:space="preserve">Layer productivity</t>
  </si>
  <si>
    <t xml:space="preserve">eggs/hen/yr</t>
  </si>
  <si>
    <t xml:space="preserve">EPFNZ (7 May 2026): 290-305 eggs/layer/yr; Calthorpe bottom-up uses 300.</t>
  </si>
  <si>
    <t xml:space="preserve">Free-range premium path by scenario</t>
  </si>
  <si>
    <t xml:space="preserve">Scenario</t>
  </si>
  <si>
    <t xml:space="preserve">Source / mechanic</t>
  </si>
  <si>
    <t xml:space="preserve">Base case</t>
  </si>
  <si>
    <t xml:space="preserve">Calthorpe Part 3 central path 18% FY26 -&gt; 14% FY27 -&gt; 12% FY28; downside 8-10% if barn oversupply; upside 14-15% if marginal barn capacity does not arrive.</t>
  </si>
  <si>
    <t xml:space="preserve">Upside / tight supply</t>
  </si>
  <si>
    <t xml:space="preserve">Downside / delay</t>
  </si>
  <si>
    <t xml:space="preserve">Consumer sensitivity, Aurora data and cost / supply sensitivities</t>
  </si>
  <si>
    <t xml:space="preserve">FR commodity own-price elasticity</t>
  </si>
  <si>
    <t xml:space="preserve">elasticity</t>
  </si>
  <si>
    <t xml:space="preserve">RetailIQ NZ Q1 2026 scan: FR commodity own-price elasticity -1.34 (0.19), significant at 99%.</t>
  </si>
  <si>
    <t xml:space="preserve">Barn own-price elasticity</t>
  </si>
  <si>
    <t xml:space="preserve">RetailIQ NZ Q1 2026 scan: barn own-price elasticity -0.81 (0.21).</t>
  </si>
  <si>
    <t xml:space="preserve">Barn -&gt; FR cross-price elasticity</t>
  </si>
  <si>
    <t xml:space="preserve">RetailIQ NZ Q1 2026 scan: when barn prices rise, FR commodity gains; matrix row Barn -&gt; column FR commodity +0.62.</t>
  </si>
  <si>
    <t xml:space="preserve">FR -&gt; barn cross-price elasticity</t>
  </si>
  <si>
    <t xml:space="preserve">RetailIQ NZ Q1 2026 scan: when FR commodity prices rise, barn gains; matrix row FR -&gt; column Barn +0.71.</t>
  </si>
  <si>
    <t xml:space="preserve">FR buyers actual trade-down</t>
  </si>
  <si>
    <t xml:space="preserve">% buyers</t>
  </si>
  <si>
    <t xml:space="preserve">ACII Egg Addendum (Mar 2026): 21% of free-range buyers actually switched within 12 weeks of NZ$30/week budget tightening; Calthorpe cites 20-25%.</t>
  </si>
  <si>
    <t xml:space="preserve">Aurora layer flock</t>
  </si>
  <si>
    <t xml:space="preserve">000 hens</t>
  </si>
  <si>
    <t xml:space="preserve">Broker outreach (20 Apr 2026) and Halberd internal brief (4 May 2026): approx. 610k layer hens.</t>
  </si>
  <si>
    <t xml:space="preserve">Aurora colony share</t>
  </si>
  <si>
    <t xml:space="preserve">% flock</t>
  </si>
  <si>
    <t xml:space="preserve">Broker outreach / internal brief: 40% colony / 30% barn / 30% free-range.</t>
  </si>
  <si>
    <t xml:space="preserve">Aurora barn share</t>
  </si>
  <si>
    <t xml:space="preserve">Aurora free-range share</t>
  </si>
  <si>
    <t xml:space="preserve">Broker outreach / internal brief: 40% colony / 30% barn / 30% free-range; Calthorpe confirms broad 40/30/30 from Mark McKenna comments.</t>
  </si>
  <si>
    <t xml:space="preserve">Aurora retail channel share</t>
  </si>
  <si>
    <t xml:space="preserve">% revenue/volume</t>
  </si>
  <si>
    <t xml:space="preserve">Calthorpe Part 2: Aurora approx. 72% retail; broker outreach says ~70% retail.</t>
  </si>
  <si>
    <t xml:space="preserve">Aurora foodservice share</t>
  </si>
  <si>
    <t xml:space="preserve">Calthorpe Part 2: Aurora approx. 22% foodservice; broker outreach says ~25%.</t>
  </si>
  <si>
    <t xml:space="preserve">Aurora industrial share</t>
  </si>
  <si>
    <t xml:space="preserve">Calthorpe Part 2: Aurora approx. 5% industrial; broker outreach says ~5%.</t>
  </si>
  <si>
    <t xml:space="preserve">Aurora direct / other share</t>
  </si>
  <si>
    <t xml:space="preserve">Residual to sum channel mix; direct/farmgate not a focus for Aurora.</t>
  </si>
  <si>
    <t xml:space="preserve">Conversion capex / colony bird</t>
  </si>
  <si>
    <t xml:space="preserve">NZ$/bird</t>
  </si>
  <si>
    <t xml:space="preserve">Calthorpe Part 2: NZ$45-65/bird all-in; Aurora expected mid-range NZ$52-58; EPFNZ corroborates low-40s to high-60s.</t>
  </si>
  <si>
    <t xml:space="preserve">Consent lead time</t>
  </si>
  <si>
    <t xml:space="preserve">months</t>
  </si>
  <si>
    <t xml:space="preserve">Calthorpe Part 2: like-for-like 4-6 months if no notification; 9-12 months if public notification.</t>
  </si>
  <si>
    <t xml:space="preserve">Physical build time</t>
  </si>
  <si>
    <t xml:space="preserve">Calthorpe Part 2 / EPFNZ: 12-18 months once consents granted; Aurora likely 14-16 if existing envelopes reused.</t>
  </si>
  <si>
    <t xml:space="preserve">DOC / pullet lead time</t>
  </si>
  <si>
    <t xml:space="preserve">Calthorpe Part 2 and supplier annex: 6-9 months order-to-delivery for meaningful pullet/DOC orders.</t>
  </si>
  <si>
    <t xml:space="preserve">Equipment lead time</t>
  </si>
  <si>
    <t xml:space="preserve">Supplier exposure annex / Calthorpe Part 7: 9-14 months for full barn fit-out from order to commissioning.</t>
  </si>
  <si>
    <t xml:space="preserve">Feed cost per dozen</t>
  </si>
  <si>
    <t xml:space="preserve">Supplier exposure annex (3 Jun 2026): FY24 feed cost NZ$1.85-2.10/doz depending system.</t>
  </si>
  <si>
    <t xml:space="preserve">Feed share of variable cost</t>
  </si>
  <si>
    <t xml:space="preserve">% variable cost</t>
  </si>
  <si>
    <t xml:space="preserve">Supplier exposure annex / Calthorpe Part 7: feed 55-65% of variable cost.</t>
  </si>
  <si>
    <t xml:space="preserve">10% grain spike margin hit</t>
  </si>
  <si>
    <t xml:space="preserve">bps of revenue</t>
  </si>
  <si>
    <t xml:space="preserve">Supplier exposure annex: 10% spot grain spike compresses Aurora gross margin 80-110 bps for one to two quarters before pass-through.</t>
  </si>
  <si>
    <t xml:space="preserve">Electricity tariff step-up</t>
  </si>
  <si>
    <t xml:space="preserve">% increase</t>
  </si>
  <si>
    <t xml:space="preserve">Supplier exposure annex: late-2027/28 tariff renewal risk +18-22% cumulative electricity inflation.</t>
  </si>
  <si>
    <t xml:space="preserve">Electricity margin hit</t>
  </si>
  <si>
    <t xml:space="preserve">Supplier exposure annex: 150-220 bps margin headwind on colony/barn lines if pass-through lags.</t>
  </si>
  <si>
    <t xml:space="preserve">Labour share of variable cost</t>
  </si>
  <si>
    <t xml:space="preserve">Supplier exposure annex: Aurora labour approx. 18-22% of variable cost.</t>
  </si>
  <si>
    <t xml:space="preserve">Labour wage shock</t>
  </si>
  <si>
    <t xml:space="preserve">% wage increase</t>
  </si>
  <si>
    <t xml:space="preserve">Sensitivity for migrant-policy / wage pressure through 2026-28; source: supplier exposure annex.</t>
  </si>
  <si>
    <t xml:space="preserve">ETS re-inclusion exposure - Aurora</t>
  </si>
  <si>
    <t xml:space="preserve">NZ$M pa</t>
  </si>
  <si>
    <t xml:space="preserve">Supplier exposure annex: if agriculture re-included, Aurora annual exposure NZ$0.5-1.5M depending scope/free allocation.</t>
  </si>
  <si>
    <t xml:space="preserve">Delay revenue hit - Aurora 12mo</t>
  </si>
  <si>
    <t xml:space="preserve">Calthorpe Part 3: if 244k colony birds lose retail access, approx. NZ$14M annual revenue hit.</t>
  </si>
  <si>
    <t xml:space="preserve">Delay EBITDA hit - Aurora 12mo</t>
  </si>
  <si>
    <t xml:space="preserve">Calthorpe Part 3: 12-month slippage could cost NZ$3-4M EBITDA; midpoint NZ$3.5M.</t>
  </si>
  <si>
    <t xml:space="preserve">Refresh note</t>
  </si>
  <si>
    <t xml:space="preserve">When management data arrives, update blue assumption cells first, then check green outputs on the Forecast and Transition Scenarios tabs. The model intentionally preserves contested source tensions: official 2022 mix vs current expert read; sell-side capex/timeline vs expert capex/timeline; broker free-range premium vs retail-buyer evidence.</t>
  </si>
  <si>
    <t xml:space="preserve">Historical market sizing (top-down and bottom-up bridge)</t>
  </si>
  <si>
    <t xml:space="preserve">Uses FY24 NZ$455M retail shell-egg market as the top-down anchor; the residual uplift to all-channel reflects foodservice, industrial, direct/institutional and own-use volumes that are invisible in retail-only data. FY25 is a bridge estimate.</t>
  </si>
  <si>
    <t xml:space="preserve">Metric</t>
  </si>
  <si>
    <t xml:space="preserve">Source / calc note</t>
  </si>
  <si>
    <t xml:space="preserve">A. Top-down retail shelf market</t>
  </si>
  <si>
    <t xml:space="preserve">Treasury demographic baseline / 0.9% pa short-run assumption.</t>
  </si>
  <si>
    <t xml:space="preserve">ACII Wave 11 actual/projection; FY22-FY23 estimated from EPFNZ trend.</t>
  </si>
  <si>
    <t xml:space="preserve">Gross egg demand</t>
  </si>
  <si>
    <t xml:space="preserve">Population × per-capita / 12.</t>
  </si>
  <si>
    <t xml:space="preserve">Retail volume share</t>
  </si>
  <si>
    <t xml:space="preserve">Retail share 72% within EPFNZ/Calthorpe 70-75% range.</t>
  </si>
  <si>
    <t xml:space="preserve">Retail egg volume</t>
  </si>
  <si>
    <t xml:space="preserve">Gross demand × retail share.</t>
  </si>
  <si>
    <t xml:space="preserve">Avg retail shelf price</t>
  </si>
  <si>
    <t xml:space="preserve">FY24 solved to tie NZ$455M; other years estimated until retailer history arrives.</t>
  </si>
  <si>
    <t xml:space="preserve">Retail shelf market size</t>
  </si>
  <si>
    <t xml:space="preserve">Retail top-down shelf value: retail dozens × avg shelf price.</t>
  </si>
  <si>
    <t xml:space="preserve">YoY retail market growth</t>
  </si>
  <si>
    <t xml:space="preserve">Growth in retail shelf market.</t>
  </si>
  <si>
    <t xml:space="preserve">All-channel uplift vs retail-only</t>
  </si>
  <si>
    <t xml:space="preserve">19% uplift from retail top-down to all-channel Calthorpe bottom-up.</t>
  </si>
  <si>
    <t xml:space="preserve">All-channel market value</t>
  </si>
  <si>
    <t xml:space="preserve">All-channel market value estimate; use as broader market-size lens.</t>
  </si>
  <si>
    <t xml:space="preserve">Non-retail / missing channel value</t>
  </si>
  <si>
    <t xml:space="preserve">Value missing from retail-only lens (foodservice, industrial, own-use, direct).</t>
  </si>
  <si>
    <t xml:space="preserve">B. Channel segmentation (value allocation of all-channel market)</t>
  </si>
  <si>
    <t xml:space="preserve">Channel value (NZ$M)</t>
  </si>
  <si>
    <t xml:space="preserve">Method / note</t>
  </si>
  <si>
    <t xml:space="preserve">Retail grocery</t>
  </si>
  <si>
    <t xml:space="preserve">Retail shelf top-down value from section A.</t>
  </si>
  <si>
    <t xml:space="preserve">Foodservice</t>
  </si>
  <si>
    <t xml:space="preserve">Non-retail gap allocated by channel volume shares.</t>
  </si>
  <si>
    <t xml:space="preserve">Industrial</t>
  </si>
  <si>
    <t xml:space="preserve">Direct / institutional / other</t>
  </si>
  <si>
    <t xml:space="preserve">Residual includes direct, institutional and own-use; split is provisional.</t>
  </si>
  <si>
    <t xml:space="preserve">Total all-channel</t>
  </si>
  <si>
    <t xml:space="preserve">Check: equals all-channel market value.</t>
  </si>
  <si>
    <t xml:space="preserve">C. Production-system segmentation (retail value proxy)</t>
  </si>
  <si>
    <t xml:space="preserve">Production system retail value (NZ$M)</t>
  </si>
  <si>
    <t xml:space="preserve">Colony</t>
  </si>
  <si>
    <t xml:space="preserve">Volume mix × relative price index; official FY22 mix and current-era drift are source-contested.</t>
  </si>
  <si>
    <t xml:space="preserve">Barn</t>
  </si>
  <si>
    <t xml:space="preserve">Barn index = 1.00.</t>
  </si>
  <si>
    <t xml:space="preserve">Free-range commodity</t>
  </si>
  <si>
    <t xml:space="preserve">Free-range index uses 30% historical premium and FY25 compression.</t>
  </si>
  <si>
    <t xml:space="preserve">Pasture / specialty</t>
  </si>
  <si>
    <t xml:space="preserve">Specialty/pasture under 5% flock but high price index.</t>
  </si>
  <si>
    <t xml:space="preserve">Total retail</t>
  </si>
  <si>
    <t xml:space="preserve">Check: equals retail shelf market size.</t>
  </si>
  <si>
    <t xml:space="preserve">D. Aurora historical data and market-share read-through</t>
  </si>
  <si>
    <t xml:space="preserve">Aurora metric</t>
  </si>
  <si>
    <t xml:space="preserve">Source / note</t>
  </si>
  <si>
    <t xml:space="preserve">Aurora revenue</t>
  </si>
  <si>
    <t xml:space="preserve">FY22-FY24 actuals + FY25E from Aurora draft IM (28 Feb 2026).</t>
  </si>
  <si>
    <t xml:space="preserve">Aurora volume</t>
  </si>
  <si>
    <t xml:space="preserve">FY22-FY24 from Aurora draft IM; FY25E estimated at +6% volume growth until management volume data arrives.</t>
  </si>
  <si>
    <t xml:space="preserve">Aurora EBITDA</t>
  </si>
  <si>
    <t xml:space="preserve">FY22-FY24 from Aurora draft IM; FY25E assumes FY24 margin if not disclosed.</t>
  </si>
  <si>
    <t xml:space="preserve">Aurora EBITDA margin</t>
  </si>
  <si>
    <t xml:space="preserve">EBITDA / revenue.</t>
  </si>
  <si>
    <t xml:space="preserve">Aurora revenue share of all-channel market</t>
  </si>
  <si>
    <t xml:space="preserve">Revenue / all-channel market value.</t>
  </si>
  <si>
    <t xml:space="preserve">Aurora volume share of gross egg demand</t>
  </si>
  <si>
    <t xml:space="preserve">Reported volume / gross national egg demand; lower than 17-19% expert share due definition mismatch / Aurora hidden in public roster.</t>
  </si>
  <si>
    <t xml:space="preserve">Aurora revenue / dozen</t>
  </si>
  <si>
    <t xml:space="preserve">Revenue per reported dozen; confirm pack / channel definitions in data room.</t>
  </si>
  <si>
    <t xml:space="preserve">Aurora implied eggs / layer (FY24 flock basis)</t>
  </si>
  <si>
    <t xml:space="preserve">Reported dozen volume ×12 / 610k flock; a reconciliation flag, not a biological benchmark.</t>
  </si>
  <si>
    <t xml:space="preserve">5-year market forecast and sensitivities</t>
  </si>
  <si>
    <t xml:space="preserve">Forecast is demand-driven (population × per-capita eggs, net of consumer-displacement case), then price/mix is linked to the selected cage-free transition scenario. Use the blue dropdowns to change cases.</t>
  </si>
  <si>
    <t xml:space="preserve">Selected transition scenario</t>
  </si>
  <si>
    <t xml:space="preserve">Model read</t>
  </si>
  <si>
    <t xml:space="preserve">Base case assumes barn-led compliance by end-2027, FR premium compressing from 18% to 12%, and modest plant-based displacement by FY30. Downside combines retailer-deadline slippage with barn oversupply and higher substitution.</t>
  </si>
  <si>
    <t xml:space="preserve">Selected demand case</t>
  </si>
  <si>
    <t xml:space="preserve">Note</t>
  </si>
  <si>
    <t xml:space="preserve">A. Demand forecast</t>
  </si>
  <si>
    <t xml:space="preserve">Treasury/Stats NZ baseline; ~0.9% pa.</t>
  </si>
  <si>
    <t xml:space="preserve">ACII Wave 11 projections.</t>
  </si>
  <si>
    <t xml:space="preserve">Plant-based displacement</t>
  </si>
  <si>
    <t xml:space="preserve">Dropdown selects Base / Downside / Upside displacement path.</t>
  </si>
  <si>
    <t xml:space="preserve">Net shell-egg demand</t>
  </si>
  <si>
    <t xml:space="preserve">Gross demand net of selected consumer substitution case.</t>
  </si>
  <si>
    <t xml:space="preserve">YoY net demand growth</t>
  </si>
  <si>
    <t xml:space="preserve">Growth versus FY25 (FY26) or prior year.</t>
  </si>
  <si>
    <t xml:space="preserve">B. Channel volume segmentation (MECE)</t>
  </si>
  <si>
    <t xml:space="preserve">Retail share base 72% of volume.</t>
  </si>
  <si>
    <t xml:space="preserve">Foodservice 15% of volume.</t>
  </si>
  <si>
    <t xml:space="preserve">Industrial 10% of volume.</t>
  </si>
  <si>
    <t xml:space="preserve">Direct / other</t>
  </si>
  <si>
    <t xml:space="preserve">Direct/institutional/own-use explicit 3% residual.</t>
  </si>
  <si>
    <t xml:space="preserve">Check - total</t>
  </si>
  <si>
    <t xml:space="preserve">Check equals net shell-egg demand.</t>
  </si>
  <si>
    <t xml:space="preserve">C. Production-system mix from selected transition scenario</t>
  </si>
  <si>
    <t xml:space="preserve">Current FY26 estimate 40% colony; scenario moves cohort by end-2027.</t>
  </si>
  <si>
    <t xml:space="preserve">Barn is the primary lower-cost conversion destination in Base.</t>
  </si>
  <si>
    <t xml:space="preserve">Free-range commodity share</t>
  </si>
  <si>
    <t xml:space="preserve">Commodity FR is premium-bearing but price-elastic.</t>
  </si>
  <si>
    <t xml:space="preserve">Pasture/specialty small but high-price/durable.</t>
  </si>
  <si>
    <t xml:space="preserve">Check - system mix</t>
  </si>
  <si>
    <t xml:space="preserve">Check should equal 100%.</t>
  </si>
  <si>
    <t xml:space="preserve">Stranded colony share</t>
  </si>
  <si>
    <t xml:space="preserve">Post-deadline colony share forced out of retail in Downside.</t>
  </si>
  <si>
    <t xml:space="preserve">FR premium over barn</t>
  </si>
  <si>
    <t xml:space="preserve">Scenario-specific premium path; central 18%→14%→12%.</t>
  </si>
  <si>
    <t xml:space="preserve">D. Price/mix build and market-size forecast</t>
  </si>
  <si>
    <t xml:space="preserve">Retail shelf price - colony</t>
  </si>
  <si>
    <t xml:space="preserve">Calthorpe Part 4 midpoint inflated by NZ CPI.</t>
  </si>
  <si>
    <t xml:space="preserve">Retail shelf price - barn</t>
  </si>
  <si>
    <t xml:space="preserve">Barn shelf price midpoint inflated by NZ CPI.</t>
  </si>
  <si>
    <t xml:space="preserve">Retail shelf price - FR commodity</t>
  </si>
  <si>
    <t xml:space="preserve">Barn shelf price × scenario FR premium.</t>
  </si>
  <si>
    <t xml:space="preserve">Retail shelf price - pasture/specialty</t>
  </si>
  <si>
    <t xml:space="preserve">RetailIQ Q1 2026 specialty price midpoint.</t>
  </si>
  <si>
    <t xml:space="preserve">Weighted retail shelf price</t>
  </si>
  <si>
    <t xml:space="preserve">System-mix weighted retail shelf price.</t>
  </si>
  <si>
    <t xml:space="preserve">Retail shelf market value (unscaled)</t>
  </si>
  <si>
    <t xml:space="preserve">Retail top-down shelf-value lens; not calibrated.</t>
  </si>
  <si>
    <t xml:space="preserve">Foodservice weighted channel price</t>
  </si>
  <si>
    <t xml:space="preserve">Weighted by production system; FS prices lower than retail shelf.</t>
  </si>
  <si>
    <t xml:space="preserve">Foodservice channel value (raw)</t>
  </si>
  <si>
    <t xml:space="preserve">Foodservice volume × weighted FS price.</t>
  </si>
  <si>
    <t xml:space="preserve">Industrial weighted channel price</t>
  </si>
  <si>
    <t xml:space="preserve">Industrial price; lower/no full welfare premium.</t>
  </si>
  <si>
    <t xml:space="preserve">Industrial channel value (raw)</t>
  </si>
  <si>
    <t xml:space="preserve">Industrial volume × weighted industrial price.</t>
  </si>
  <si>
    <t xml:space="preserve">Direct/other weighted channel price</t>
  </si>
  <si>
    <t xml:space="preserve">Small direct/other channel, premium-weighted.</t>
  </si>
  <si>
    <t xml:space="preserve">Direct/other channel value (raw)</t>
  </si>
  <si>
    <t xml:space="preserve">Direct/other volume × weighted price.</t>
  </si>
  <si>
    <t xml:space="preserve">Raw all-channel value before retail-access haircut</t>
  </si>
  <si>
    <t xml:space="preserve">Raw price × volume before scenario-specific stranded colony haircut.</t>
  </si>
  <si>
    <t xml:space="preserve">Retail-access haircut on stranded colony volume</t>
  </si>
  <si>
    <t xml:space="preserve">Downside only: colony after 2027 loses retail access and shifts toward industrial outlet value.</t>
  </si>
  <si>
    <t xml:space="preserve">Raw all-channel value after haircut</t>
  </si>
  <si>
    <t xml:space="preserve">Raw all-channel value after retail-access haircut.</t>
  </si>
  <si>
    <t xml:space="preserve">Calibration factor to Calthorpe bottom-up anchor</t>
  </si>
  <si>
    <t xml:space="preserve">Calibration to Calthorpe bottom-up anchor; update when data improves.</t>
  </si>
  <si>
    <t xml:space="preserve">Calibrated all-channel market size</t>
  </si>
  <si>
    <t xml:space="preserve">Primary market-size forecast (all-channel calibrated).</t>
  </si>
  <si>
    <t xml:space="preserve">YoY calibrated market growth</t>
  </si>
  <si>
    <t xml:space="preserve">Growth in calibrated market size.</t>
  </si>
  <si>
    <t xml:space="preserve">Implied Aurora revenue share (sell-side path)</t>
  </si>
  <si>
    <t xml:space="preserve">Aurora sell-side revenue path / calibrated market size; tests 17-19% share claim.</t>
  </si>
  <si>
    <t xml:space="preserve">E. Calibrated value segmentation (MECE by channel and production system)</t>
  </si>
  <si>
    <t xml:space="preserve">Retail grocery value (calibrated)</t>
  </si>
  <si>
    <t xml:space="preserve">Retail value less stranded-volume haircut, then calibrated.</t>
  </si>
  <si>
    <t xml:space="preserve">Foodservice value (calibrated)</t>
  </si>
  <si>
    <t xml:space="preserve">Foodservice value calibrated.</t>
  </si>
  <si>
    <t xml:space="preserve">Industrial value (calibrated)</t>
  </si>
  <si>
    <t xml:space="preserve">Industrial value calibrated.</t>
  </si>
  <si>
    <t xml:space="preserve">Direct / other value (calibrated)</t>
  </si>
  <si>
    <t xml:space="preserve">Direct/other value calibrated.</t>
  </si>
  <si>
    <t xml:space="preserve">Total channel value</t>
  </si>
  <si>
    <t xml:space="preserve">Check equals calibrated market size.</t>
  </si>
  <si>
    <t xml:space="preserve">Colony value (calibrated, post-haircut)</t>
  </si>
  <si>
    <t xml:space="preserve">Colony value net of retail-access haircut.</t>
  </si>
  <si>
    <t xml:space="preserve">Barn value (calibrated)</t>
  </si>
  <si>
    <t xml:space="preserve">Barn value.</t>
  </si>
  <si>
    <t xml:space="preserve">Free-range commodity value (calibrated)</t>
  </si>
  <si>
    <t xml:space="preserve">FR commodity value; premium path selected in scenario.</t>
  </si>
  <si>
    <t xml:space="preserve">Pasture / specialty value (calibrated)</t>
  </si>
  <si>
    <t xml:space="preserve">Pasture/specialty value.</t>
  </si>
  <si>
    <t xml:space="preserve">Total system value</t>
  </si>
  <si>
    <t xml:space="preserve">F. Consumer-demand sensitivity (FY30 volume cases)</t>
  </si>
  <si>
    <t xml:space="preserve">Demand case</t>
  </si>
  <si>
    <t xml:space="preserve">FY30 plant-based displacement</t>
  </si>
  <si>
    <t xml:space="preserve">FY30 net demand (M doz)</t>
  </si>
  <si>
    <t xml:space="preserve">Delta vs base</t>
  </si>
  <si>
    <t xml:space="preserve">Mechanic / note</t>
  </si>
  <si>
    <t xml:space="preserve">Upside</t>
  </si>
  <si>
    <t xml:space="preserve">No plant-based displacement; provenance and retailer assortment shield shell eggs.</t>
  </si>
  <si>
    <t xml:space="preserve">Partial displacement as plant-based remains niche but grows in flexitarian segment.</t>
  </si>
  <si>
    <t xml:space="preserve">Downside</t>
  </si>
  <si>
    <t xml:space="preserve">2.5% displacement by FY30, consistent with top end of ACII contingent risk if retailers range mainstream SKUs.</t>
  </si>
  <si>
    <t xml:space="preserve">Sensitivity</t>
  </si>
  <si>
    <t xml:space="preserve">Formula / read</t>
  </si>
  <si>
    <t xml:space="preserve">Illustrative impact</t>
  </si>
  <si>
    <t xml:space="preserve">FR commodity price +5%</t>
  </si>
  <si>
    <t xml:space="preserve">FR own-price elasticity × +5% price move</t>
  </si>
  <si>
    <t xml:space="preserve">Barn price +5%</t>
  </si>
  <si>
    <t xml:space="preserve">Barn-&gt;FR cross-price elasticity × +5% barn price move</t>
  </si>
  <si>
    <t xml:space="preserve">Budget trade-down</t>
  </si>
  <si>
    <t xml:space="preserve">Actual FR buyers switching to barn/colony under NZ$30/wk budget event</t>
  </si>
  <si>
    <t xml:space="preserve">G. Cost-side and supply-side sensitivities (Aurora impact, NZ$M)</t>
  </si>
  <si>
    <t xml:space="preserve">FY26</t>
  </si>
  <si>
    <t xml:space="preserve">FY27</t>
  </si>
  <si>
    <t xml:space="preserve">FY28</t>
  </si>
  <si>
    <t xml:space="preserve">FY29</t>
  </si>
  <si>
    <t xml:space="preserve">FY30</t>
  </si>
  <si>
    <t xml:space="preserve">Mechanic / source</t>
  </si>
  <si>
    <t xml:space="preserve">Feed grain +10% - Base</t>
  </si>
  <si>
    <t xml:space="preserve">Supplier annex: 10% spot grain spike compresses gross margin 80-110 bps for one to two quarters; base uses 95 bps for half-year lag.</t>
  </si>
  <si>
    <t xml:space="preserve">Feed grain +10% - Low</t>
  </si>
  <si>
    <t xml:space="preserve">Low bps case.</t>
  </si>
  <si>
    <t xml:space="preserve">Feed grain +10% - High</t>
  </si>
  <si>
    <t xml:space="preserve">High bps case.</t>
  </si>
  <si>
    <t xml:space="preserve">Electricity step-up - Base</t>
  </si>
  <si>
    <t xml:space="preserve">Late-2027/28 tariff renewal: 150-220 bps margin hit on colony/barn lines; zero before FY28.</t>
  </si>
  <si>
    <t xml:space="preserve">Electricity step-up - Low</t>
  </si>
  <si>
    <t xml:space="preserve">Electricity step-up - High</t>
  </si>
  <si>
    <t xml:space="preserve">Labour wage shock - Base</t>
  </si>
  <si>
    <t xml:space="preserve">Labour 18-22% of variable cost × wage shock × 50% pass-through lag.</t>
  </si>
  <si>
    <t xml:space="preserve">Labour wage shock - Low</t>
  </si>
  <si>
    <t xml:space="preserve">Low case.</t>
  </si>
  <si>
    <t xml:space="preserve">Labour wage shock - High</t>
  </si>
  <si>
    <t xml:space="preserve">High case.</t>
  </si>
  <si>
    <t xml:space="preserve">ETS re-inclusion exposure</t>
  </si>
  <si>
    <t xml:space="preserve">ETS re-inclusion risk applied FY28+; Aurora NZ$0.5-1.5M annual range in source.</t>
  </si>
  <si>
    <t xml:space="preserve">12mo delay EBITDA hit</t>
  </si>
  <si>
    <t xml:space="preserve">Calthorpe Part 3 12-month colony transition slippage EBITDA hit, scaled to scenario stranded share.</t>
  </si>
  <si>
    <t xml:space="preserve">Aurora sell-side revenue path used in sensitivity rows: FY26 NZ$96.8M, FY27 NZ$103.5M, FY28 NZ$110.7M, FY29 NZ$118.4M, FY30 NZ$126.7M (Aurora draft IM, 28 Feb 2026).</t>
  </si>
  <si>
    <t xml:space="preserve">Cage-free transition scenarios</t>
  </si>
  <si>
    <t xml:space="preserve">Named scenarios covering how the national colony cohort, and Aurora's own colony cohort, transition by the end-2027 retailer pledge. These rows feed the Forecast tab scenario selector.</t>
  </si>
  <si>
    <t xml:space="preserve">A. Normalized scenario table (feeds Forecast tab)</t>
  </si>
  <si>
    <t xml:space="preserve">Barn-led compliant transition: colony cohort exits retail shelves by end-2027; most conversion lands in barn capacity; FR premium compresses per expert central case.</t>
  </si>
  <si>
    <t xml:space="preserve">Conversion capex per colony bird</t>
  </si>
  <si>
    <t xml:space="preserve">Earlier compliance plus more free-range/specialty conversion; long-tail exits tighten supply and support the free-range premium.</t>
  </si>
  <si>
    <t xml:space="preserve">Consent / DOC / equipment bottlenecks; some colony volume slips beyond the retailer deadline and is forced into lower-price non-retail channels; barn oversupply compresses FR premium.</t>
  </si>
  <si>
    <t xml:space="preserve">B. Scenario definitions and outputs</t>
  </si>
  <si>
    <t xml:space="preserve">Mechanic</t>
  </si>
  <si>
    <t xml:space="preserve">End-2027 compliance</t>
  </si>
  <si>
    <t xml:space="preserve">FY28 colony share</t>
  </si>
  <si>
    <t xml:space="preserve">FY28 FR premium</t>
  </si>
  <si>
    <t xml:space="preserve">Retail-access loss?</t>
  </si>
  <si>
    <t xml:space="preserve">Model implication</t>
  </si>
  <si>
    <t xml:space="preserve">Yes</t>
  </si>
  <si>
    <t xml:space="preserve">No</t>
  </si>
  <si>
    <t xml:space="preserve">Most colony capacity converts to barn; market value grows with modest volume and price/mix, but FR premium compresses.</t>
  </si>
  <si>
    <t xml:space="preserve">Tighter cage-free supply supports pricing and specialty/FR mix; higher conversion capex.</t>
  </si>
  <si>
    <t xml:space="preserve">Post-deadline colony volume receives retail-access haircut; barn oversupply compresses FR premium.</t>
  </si>
  <si>
    <t xml:space="preserve">C. Aurora colony-to-barn conversion economics</t>
  </si>
  <si>
    <t xml:space="preserve">Formula / source note</t>
  </si>
  <si>
    <t xml:space="preserve">Aurora layer flock (000 hens)</t>
  </si>
  <si>
    <t xml:space="preserve">Broker outreach / internal brief.</t>
  </si>
  <si>
    <t xml:space="preserve">40% colony / 30% barn / 30% FR.</t>
  </si>
  <si>
    <t xml:space="preserve">Aurora colony birds (000)</t>
  </si>
  <si>
    <t xml:space="preserve">Layer flock × colony share.</t>
  </si>
  <si>
    <t xml:space="preserve">Calthorpe/EPFNZ NZ$45-65/bird; Aurora mid-range.</t>
  </si>
  <si>
    <t xml:space="preserve">Aurora conversion capex (NZ$M)</t>
  </si>
  <si>
    <t xml:space="preserve">Implied capex: highlights sell-side NZ$8-10M vs expert NZ$11-16M tension.</t>
  </si>
  <si>
    <t xml:space="preserve">Consent + build + DOC lead time (months)</t>
  </si>
  <si>
    <t xml:space="preserve">DOC/pullet lead can run partly in parallel with build; timing risk remains if consents not started.</t>
  </si>
  <si>
    <t xml:space="preserve">12-month slippage revenue hit (NZ$M)</t>
  </si>
  <si>
    <t xml:space="preserve">Calthorpe Part 3 stranded colony volume math.</t>
  </si>
  <si>
    <t xml:space="preserve">12-month slippage EBITDA hit (NZ$M)</t>
  </si>
  <si>
    <t xml:space="preserve">Calthorpe Part 3: NZ$3-4M EBITDA hit per year of slippage.</t>
  </si>
  <si>
    <t xml:space="preserve">D. Cost-side and supply-side underwriting sensitivities (Aurora lens)</t>
  </si>
  <si>
    <t xml:space="preserve">Base impact</t>
  </si>
  <si>
    <t xml:space="preserve">Low</t>
  </si>
  <si>
    <t xml:space="preserve">High</t>
  </si>
  <si>
    <t xml:space="preserve">Formula / note</t>
  </si>
  <si>
    <t xml:space="preserve">Feed grain spike</t>
  </si>
  <si>
    <t xml:space="preserve">10% spot grain spike; pass-through lag 1-2 quarters</t>
  </si>
  <si>
    <t xml:space="preserve">Uses supplier annex 80-110 bps margin hit; Forecast tab calculates impact on Aurora revenue.</t>
  </si>
  <si>
    <t xml:space="preserve">Electricity step-up FY28+</t>
  </si>
  <si>
    <t xml:space="preserve">+18-22% tariff renewal; colony/barn lines most exposed</t>
  </si>
  <si>
    <t xml:space="preserve">Uses supplier annex 150-220 bps margin hit on colony/barn revenue after late-2027 tariff renewal.</t>
  </si>
  <si>
    <t xml:space="preserve">Labour wage pressure</t>
  </si>
  <si>
    <t xml:space="preserve">Labour 18-22% of variable cost; wage inflation sensitivity</t>
  </si>
  <si>
    <t xml:space="preserve">Illustrative annual EBITDA pressure from labour wage shock.</t>
  </si>
  <si>
    <t xml:space="preserve">ETS re-inclusion</t>
  </si>
  <si>
    <t xml:space="preserve">Policy reversibility after 2026 election cycle</t>
  </si>
  <si>
    <t xml:space="preserve">Supplier annex: Aurora NZ$0.5-1.5M annual exposure depending scope/free allocation.</t>
  </si>
  <si>
    <t xml:space="preserve">DOC / equipment lead times</t>
  </si>
  <si>
    <t xml:space="preserve">6-9 months pullets; 9-14 months equipment; 12-18 months build</t>
  </si>
  <si>
    <t xml:space="preserve">Timing risk</t>
  </si>
  <si>
    <t xml:space="preserve">No slack</t>
  </si>
  <si>
    <t xml:space="preserve">Potential 2Q+ slip</t>
  </si>
  <si>
    <t xml:space="preserve">Supply-side sensitivity is modeled through Downside / delay transition scenario and stranded-volume haircut.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</si>
</sst>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0"/>
    <numFmt numFmtId="166" formatCode="#,##0"/>
    <numFmt numFmtId="167" formatCode="0.0%"/>
    <numFmt numFmtId="168" formatCode="&quot;NZ$&quot;#,##0.00"/>
    <numFmt numFmtId="169" formatCode="#,##0.00"/>
    <numFmt numFmtId="170" formatCode="&quot;NZ$&quot;#,##0.0"/>
    <numFmt numFmtId="171" formatCode="&quot;NZ$&quot;#,##0"/>
    <numFmt numFmtId="172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ptos Display"/>
      <family val="0"/>
      <charset val="1"/>
    </font>
    <font>
      <i val="true"/>
      <sz val="10"/>
      <color rgb="FF666666"/>
      <name val="Aptos"/>
      <family val="0"/>
      <charset val="1"/>
    </font>
    <font>
      <b val="true"/>
      <sz val="11"/>
      <color rgb="FFFFFFFF"/>
      <name val="Aptos"/>
      <family val="0"/>
      <charset val="1"/>
    </font>
    <font>
      <b val="true"/>
      <sz val="10"/>
      <color rgb="FF1F1F1F"/>
      <name val="Aptos"/>
      <family val="0"/>
      <charset val="1"/>
    </font>
    <font>
      <sz val="10"/>
      <color rgb="FF0563C1"/>
      <name val="Aptos"/>
      <family val="0"/>
      <charset val="1"/>
    </font>
    <font>
      <sz val="10"/>
      <color rgb="FF1F1F1F"/>
      <name val="Aptos"/>
      <family val="0"/>
      <charset val="1"/>
    </font>
    <font>
      <sz val="10"/>
      <color rgb="FF008000"/>
      <name val="Aptos"/>
      <family val="0"/>
      <charset val="1"/>
    </font>
    <font>
      <sz val="9"/>
      <color rgb="FF666666"/>
      <name val="Aptos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2F3"/>
        <bgColor rgb="FFDDEBF7"/>
      </patternFill>
    </fill>
    <fill>
      <patternFill patternType="solid">
        <fgColor rgb="FFDDEBF7"/>
        <bgColor rgb="FFD9E2F3"/>
      </patternFill>
    </fill>
    <fill>
      <patternFill patternType="solid">
        <fgColor rgb="FFE2F0D9"/>
        <bgColor rgb="FFDDEBF7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7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D9E2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1F4E78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FCE4D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BFBFBF"/>
      <rgbColor rgb="FF878787"/>
      <rgbColor rgb="FF9999FF"/>
      <rgbColor rgb="FFC0504D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E2F0D9"/>
      <rgbColor rgb="FFF9F9F9"/>
      <rgbColor rgb="FF99CCFF"/>
      <rgbColor rgb="FFFF99CC"/>
      <rgbColor rgb="FFCC99FF"/>
      <rgbColor rgb="FFFCE4D6"/>
      <rgbColor rgb="FF4A7EBB"/>
      <rgbColor rgb="FF33CCCC"/>
      <rgbColor rgb="FF9BBB59"/>
      <rgbColor rgb="FFFFCC00"/>
      <rgbColor rgb="FFFF9900"/>
      <rgbColor rgb="FFFF6600"/>
      <rgbColor rgb="FF8064A2"/>
      <rgbColor rgb="FF969696"/>
      <rgbColor rgb="FF003366"/>
      <rgbColor rgb="FF4F81BD"/>
      <rgbColor rgb="FF003300"/>
      <rgbColor rgb="FF333300"/>
      <rgbColor rgb="FF993300"/>
      <rgbColor rgb="FF993366"/>
      <rgbColor rgb="FF1F4E78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Calibrated all-channel market size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Forecast!$B$6:$F$6</c:f>
              <c:strCache>
                <c:ptCount val="5"/>
                <c:pt idx="0">
                  <c:v>FY26F</c:v>
                </c:pt>
                <c:pt idx="1">
                  <c:v>FY27F</c:v>
                </c:pt>
                <c:pt idx="2">
                  <c:v>FY28F</c:v>
                </c:pt>
                <c:pt idx="3">
                  <c:v>FY29F</c:v>
                </c:pt>
                <c:pt idx="4">
                  <c:v>FY30F</c:v>
                </c:pt>
              </c:strCache>
            </c:strRef>
          </c:cat>
          <c:val>
            <c:numRef>
              <c:f>Forecast!$B$52:$F$52</c:f>
              <c:numCache>
                <c:formatCode>#,##0.0</c:formatCode>
                <c:ptCount val="5"/>
                <c:pt idx="0">
                  <c:v>540</c:v>
                </c:pt>
                <c:pt idx="1">
                  <c:v>580.936141869314</c:v>
                </c:pt>
                <c:pt idx="2">
                  <c:v>618.510340798095</c:v>
                </c:pt>
                <c:pt idx="3">
                  <c:v>642.434985992309</c:v>
                </c:pt>
                <c:pt idx="4">
                  <c:v>667.940672937978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2776397"/>
        <c:axId val="98903995"/>
      </c:lineChart>
      <c:catAx>
        <c:axId val="8277639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Fiscal 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903995"/>
        <c:crosses val="autoZero"/>
        <c:auto val="1"/>
        <c:lblAlgn val="ctr"/>
        <c:lblOffset val="100"/>
        <c:noMultiLvlLbl val="0"/>
      </c:catAx>
      <c:valAx>
        <c:axId val="989039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NZ$M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77639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Selected scenario production-system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Forecast!B26</c:f>
              <c:strCache>
                <c:ptCount val="1"/>
                <c:pt idx="0">
                  <c:v>40.0%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Forecast!$B$6:$F$6</c:f>
              <c:strCache>
                <c:ptCount val="5"/>
                <c:pt idx="0">
                  <c:v>FY26F</c:v>
                </c:pt>
                <c:pt idx="1">
                  <c:v>FY27F</c:v>
                </c:pt>
                <c:pt idx="2">
                  <c:v>FY28F</c:v>
                </c:pt>
                <c:pt idx="3">
                  <c:v>FY29F</c:v>
                </c:pt>
                <c:pt idx="4">
                  <c:v>FY30F</c:v>
                </c:pt>
              </c:strCache>
            </c:strRef>
          </c:cat>
          <c:val>
            <c:numRef>
              <c:f>Forecast!$C$26:$F$26</c:f>
              <c:numCache>
                <c:formatCode>0.0%</c:formatCode>
                <c:ptCount val="4"/>
                <c:pt idx="0">
                  <c:v>0.18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Forecast!B27</c:f>
              <c:strCache>
                <c:ptCount val="1"/>
                <c:pt idx="0">
                  <c:v>20.0%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Forecast!$B$6:$F$6</c:f>
              <c:strCache>
                <c:ptCount val="5"/>
                <c:pt idx="0">
                  <c:v>FY26F</c:v>
                </c:pt>
                <c:pt idx="1">
                  <c:v>FY27F</c:v>
                </c:pt>
                <c:pt idx="2">
                  <c:v>FY28F</c:v>
                </c:pt>
                <c:pt idx="3">
                  <c:v>FY29F</c:v>
                </c:pt>
                <c:pt idx="4">
                  <c:v>FY30F</c:v>
                </c:pt>
              </c:strCache>
            </c:strRef>
          </c:cat>
          <c:val>
            <c:numRef>
              <c:f>Forecast!$C$27:$F$27</c:f>
              <c:numCache>
                <c:formatCode>0.0%</c:formatCode>
                <c:ptCount val="4"/>
                <c:pt idx="0">
                  <c:v>0.41</c:v>
                </c:pt>
                <c:pt idx="1">
                  <c:v>0.57</c:v>
                </c:pt>
                <c:pt idx="2">
                  <c:v>0.56</c:v>
                </c:pt>
                <c:pt idx="3">
                  <c:v>0.55</c:v>
                </c:pt>
              </c:numCache>
            </c:numRef>
          </c:val>
        </c:ser>
        <c:ser>
          <c:idx val="2"/>
          <c:order val="2"/>
          <c:tx>
            <c:strRef>
              <c:f>Forecast!B28</c:f>
              <c:strCache>
                <c:ptCount val="1"/>
                <c:pt idx="0">
                  <c:v>36.0%</c:v>
                </c:pt>
              </c:strCache>
            </c:strRef>
          </c:tx>
          <c:spPr>
            <a:solidFill>
              <a:srgbClr val="9bbb59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Forecast!$B$6:$F$6</c:f>
              <c:strCache>
                <c:ptCount val="5"/>
                <c:pt idx="0">
                  <c:v>FY26F</c:v>
                </c:pt>
                <c:pt idx="1">
                  <c:v>FY27F</c:v>
                </c:pt>
                <c:pt idx="2">
                  <c:v>FY28F</c:v>
                </c:pt>
                <c:pt idx="3">
                  <c:v>FY29F</c:v>
                </c:pt>
                <c:pt idx="4">
                  <c:v>FY30F</c:v>
                </c:pt>
              </c:strCache>
            </c:strRef>
          </c:cat>
          <c:val>
            <c:numRef>
              <c:f>Forecast!$C$28:$F$28</c:f>
              <c:numCache>
                <c:formatCode>0.0%</c:formatCode>
                <c:ptCount val="4"/>
                <c:pt idx="0">
                  <c:v>0.37</c:v>
                </c:pt>
                <c:pt idx="1">
                  <c:v>0.39</c:v>
                </c:pt>
                <c:pt idx="2">
                  <c:v>0.4</c:v>
                </c:pt>
                <c:pt idx="3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Forecast!B29</c:f>
              <c:strCache>
                <c:ptCount val="1"/>
                <c:pt idx="0">
                  <c:v>4.0%</c:v>
                </c:pt>
              </c:strCache>
            </c:strRef>
          </c:tx>
          <c:spPr>
            <a:solidFill>
              <a:srgbClr val="8064a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Forecast!$B$6:$F$6</c:f>
              <c:strCache>
                <c:ptCount val="5"/>
                <c:pt idx="0">
                  <c:v>FY26F</c:v>
                </c:pt>
                <c:pt idx="1">
                  <c:v>FY27F</c:v>
                </c:pt>
                <c:pt idx="2">
                  <c:v>FY28F</c:v>
                </c:pt>
                <c:pt idx="3">
                  <c:v>FY29F</c:v>
                </c:pt>
                <c:pt idx="4">
                  <c:v>FY30F</c:v>
                </c:pt>
              </c:strCache>
            </c:strRef>
          </c:cat>
          <c:val>
            <c:numRef>
              <c:f>Forecast!$C$29:$F$29</c:f>
              <c:numCache>
                <c:formatCode>0.0%</c:formatCode>
                <c:ptCount val="4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</c:numCache>
            </c:numRef>
          </c:val>
        </c:ser>
        <c:gapWidth val="150"/>
        <c:overlap val="100"/>
        <c:axId val="46327906"/>
        <c:axId val="61158745"/>
      </c:barChart>
      <c:catAx>
        <c:axId val="4632790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Fiscal 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1158745"/>
        <c:crosses val="autoZero"/>
        <c:auto val="1"/>
        <c:lblAlgn val="ctr"/>
        <c:lblOffset val="100"/>
        <c:noMultiLvlLbl val="0"/>
      </c:catAx>
      <c:valAx>
        <c:axId val="611587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% mix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632790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5</xdr:row>
      <xdr:rowOff>0</xdr:rowOff>
    </xdr:from>
    <xdr:to>
      <xdr:col>13</xdr:col>
      <xdr:colOff>135720</xdr:colOff>
      <xdr:row>14</xdr:row>
      <xdr:rowOff>101880</xdr:rowOff>
    </xdr:to>
    <xdr:graphicFrame>
      <xdr:nvGraphicFramePr>
        <xdr:cNvPr id="0" name="Chart 1"/>
        <xdr:cNvGraphicFramePr/>
      </xdr:nvGraphicFramePr>
      <xdr:xfrm>
        <a:off x="12123360" y="1447920"/>
        <a:ext cx="4319280" cy="21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20</xdr:row>
      <xdr:rowOff>0</xdr:rowOff>
    </xdr:from>
    <xdr:to>
      <xdr:col>13</xdr:col>
      <xdr:colOff>135720</xdr:colOff>
      <xdr:row>29</xdr:row>
      <xdr:rowOff>101880</xdr:rowOff>
    </xdr:to>
    <xdr:graphicFrame>
      <xdr:nvGraphicFramePr>
        <xdr:cNvPr id="1" name="Chart 2"/>
        <xdr:cNvGraphicFramePr/>
      </xdr:nvGraphicFramePr>
      <xdr:xfrm>
        <a:off x="12123360" y="4876920"/>
        <a:ext cx="4319280" cy="215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23" topLeftCell="D24" activePane="bottomRight" state="frozen"/>
      <selection pane="topLeft" activeCell="A1" activeCellId="0" sqref="A1"/>
      <selection pane="topRight" activeCell="D1" activeCellId="0" sqref="D1"/>
      <selection pane="bottomLeft" activeCell="A24" activeCellId="0" sqref="A2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8"/>
    <col collapsed="false" customWidth="true" hidden="false" outlineLevel="0" max="11" min="3" style="1" width="12"/>
    <col collapsed="false" customWidth="true" hidden="false" outlineLevel="0" max="12" min="12" style="1" width="70"/>
  </cols>
  <sheetData>
    <row r="1" customFormat="false" ht="24" hidden="false" customHeight="true" outlineLevel="0" collapsed="false">
      <c r="A1" s="2" t="s">
        <v>0</v>
      </c>
    </row>
    <row r="2" customFormat="false" ht="36" hidden="false" customHeight="true" outlineLevel="0" collapsed="false">
      <c r="A2" s="3" t="s">
        <v>1</v>
      </c>
    </row>
    <row r="3" customFormat="false" ht="18" hidden="false" customHeight="true" outlineLevel="0" collapsed="false"/>
    <row r="4" customFormat="false" ht="18" hidden="false" customHeight="true" outlineLevel="0" collapsed="false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18" hidden="false" customHeight="true" outlineLevel="0" collapsed="false">
      <c r="A5" s="6"/>
      <c r="B5" s="6" t="s">
        <v>3</v>
      </c>
      <c r="C5" s="7" t="s">
        <v>4</v>
      </c>
      <c r="D5" s="7" t="s">
        <v>5</v>
      </c>
      <c r="F5" s="8" t="s">
        <v>6</v>
      </c>
      <c r="G5" s="9" t="s">
        <v>7</v>
      </c>
      <c r="H5" s="9"/>
      <c r="I5" s="9"/>
      <c r="J5" s="9"/>
      <c r="K5" s="9"/>
      <c r="L5" s="9"/>
    </row>
    <row r="6" customFormat="false" ht="18" hidden="false" customHeight="true" outlineLevel="0" collapsed="false">
      <c r="B6" s="9" t="s">
        <v>8</v>
      </c>
      <c r="C6" s="10" t="s">
        <v>9</v>
      </c>
      <c r="D6" s="9" t="s">
        <v>10</v>
      </c>
      <c r="F6" s="11"/>
      <c r="G6" s="9"/>
      <c r="H6" s="9"/>
      <c r="I6" s="9"/>
      <c r="J6" s="9"/>
      <c r="K6" s="9"/>
      <c r="L6" s="9"/>
    </row>
    <row r="7" customFormat="false" ht="18" hidden="false" customHeight="true" outlineLevel="0" collapsed="false">
      <c r="B7" s="9" t="s">
        <v>11</v>
      </c>
      <c r="C7" s="12" t="s">
        <v>12</v>
      </c>
      <c r="D7" s="9" t="s">
        <v>13</v>
      </c>
      <c r="F7" s="11"/>
      <c r="G7" s="9"/>
      <c r="H7" s="9"/>
      <c r="I7" s="9"/>
      <c r="J7" s="9"/>
      <c r="K7" s="9"/>
      <c r="L7" s="9"/>
    </row>
    <row r="8" customFormat="false" ht="18" hidden="false" customHeight="true" outlineLevel="0" collapsed="false">
      <c r="B8" s="9" t="s">
        <v>14</v>
      </c>
      <c r="C8" s="13" t="s">
        <v>15</v>
      </c>
      <c r="D8" s="9" t="s">
        <v>16</v>
      </c>
      <c r="F8" s="11"/>
      <c r="G8" s="9"/>
      <c r="H8" s="9"/>
      <c r="I8" s="9"/>
      <c r="J8" s="9"/>
      <c r="K8" s="9"/>
      <c r="L8" s="9"/>
    </row>
    <row r="9" customFormat="false" ht="18" hidden="false" customHeight="true" outlineLevel="0" collapsed="false">
      <c r="B9" s="9" t="s">
        <v>17</v>
      </c>
      <c r="C9" s="14" t="s">
        <v>18</v>
      </c>
      <c r="D9" s="9" t="s">
        <v>19</v>
      </c>
      <c r="F9" s="11"/>
      <c r="G9" s="9"/>
      <c r="H9" s="9"/>
      <c r="I9" s="9"/>
      <c r="J9" s="9"/>
      <c r="K9" s="9"/>
      <c r="L9" s="9"/>
    </row>
    <row r="10" customFormat="false" ht="18" hidden="false" customHeight="true" outlineLevel="0" collapsed="false"/>
    <row r="11" customFormat="false" ht="18" hidden="false" customHeight="true" outlineLevel="0" collapsed="false">
      <c r="A11" s="4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customFormat="false" ht="18" hidden="false" customHeight="true" outlineLevel="0" collapsed="false">
      <c r="A12" s="6"/>
      <c r="B12" s="6" t="s">
        <v>21</v>
      </c>
      <c r="C12" s="7" t="s">
        <v>22</v>
      </c>
      <c r="D12" s="7" t="s">
        <v>23</v>
      </c>
      <c r="E12" s="7" t="s">
        <v>24</v>
      </c>
    </row>
    <row r="13" customFormat="false" ht="18" hidden="false" customHeight="true" outlineLevel="0" collapsed="false">
      <c r="B13" s="12" t="s">
        <v>25</v>
      </c>
      <c r="C13" s="15" t="s">
        <v>26</v>
      </c>
      <c r="D13" s="15" t="s">
        <v>27</v>
      </c>
      <c r="E13" s="15" t="s">
        <v>28</v>
      </c>
    </row>
    <row r="14" customFormat="false" ht="18" hidden="false" customHeight="true" outlineLevel="0" collapsed="false">
      <c r="B14" s="12" t="s">
        <v>29</v>
      </c>
      <c r="C14" s="15" t="s">
        <v>30</v>
      </c>
      <c r="D14" s="15" t="s">
        <v>31</v>
      </c>
      <c r="E14" s="15" t="s">
        <v>32</v>
      </c>
    </row>
    <row r="15" customFormat="false" ht="18" hidden="false" customHeight="true" outlineLevel="0" collapsed="false">
      <c r="B15" s="12" t="s">
        <v>33</v>
      </c>
      <c r="C15" s="15" t="s">
        <v>34</v>
      </c>
      <c r="D15" s="15" t="s">
        <v>35</v>
      </c>
      <c r="E15" s="15" t="s">
        <v>36</v>
      </c>
    </row>
    <row r="16" customFormat="false" ht="18" hidden="false" customHeight="true" outlineLevel="0" collapsed="false">
      <c r="B16" s="12" t="s">
        <v>37</v>
      </c>
      <c r="C16" s="15" t="s">
        <v>38</v>
      </c>
      <c r="D16" s="15" t="s">
        <v>39</v>
      </c>
      <c r="E16" s="15" t="s">
        <v>40</v>
      </c>
    </row>
    <row r="17" customFormat="false" ht="18" hidden="false" customHeight="true" outlineLevel="0" collapsed="false">
      <c r="B17" s="12" t="s">
        <v>41</v>
      </c>
      <c r="C17" s="15" t="s">
        <v>42</v>
      </c>
      <c r="D17" s="15" t="s">
        <v>43</v>
      </c>
      <c r="E17" s="15" t="s">
        <v>44</v>
      </c>
    </row>
    <row r="18" customFormat="false" ht="18" hidden="false" customHeight="true" outlineLevel="0" collapsed="false">
      <c r="B18" s="12" t="s">
        <v>45</v>
      </c>
      <c r="C18" s="15" t="s">
        <v>46</v>
      </c>
      <c r="D18" s="15" t="s">
        <v>47</v>
      </c>
      <c r="E18" s="15" t="s">
        <v>48</v>
      </c>
    </row>
    <row r="19" customFormat="false" ht="18" hidden="false" customHeight="true" outlineLevel="0" collapsed="false">
      <c r="B19" s="12" t="s">
        <v>49</v>
      </c>
      <c r="C19" s="15" t="s">
        <v>50</v>
      </c>
      <c r="D19" s="15" t="s">
        <v>51</v>
      </c>
      <c r="E19" s="15" t="s">
        <v>52</v>
      </c>
    </row>
    <row r="20" customFormat="false" ht="18" hidden="false" customHeight="true" outlineLevel="0" collapsed="false">
      <c r="B20" s="12" t="s">
        <v>53</v>
      </c>
      <c r="C20" s="15" t="s">
        <v>54</v>
      </c>
      <c r="D20" s="15" t="s">
        <v>55</v>
      </c>
      <c r="E20" s="15" t="s">
        <v>56</v>
      </c>
    </row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>
      <c r="A23" s="4" t="s">
        <v>57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customFormat="false" ht="18" hidden="false" customHeight="true" outlineLevel="0" collapsed="false">
      <c r="A24" s="6"/>
      <c r="B24" s="6" t="s">
        <v>58</v>
      </c>
      <c r="C24" s="7" t="s">
        <v>59</v>
      </c>
      <c r="D24" s="7" t="s">
        <v>60</v>
      </c>
      <c r="E24" s="7" t="s">
        <v>61</v>
      </c>
      <c r="F24" s="7" t="s">
        <v>62</v>
      </c>
      <c r="G24" s="6" t="s">
        <v>63</v>
      </c>
      <c r="H24" s="6" t="s">
        <v>64</v>
      </c>
      <c r="I24" s="7" t="s">
        <v>65</v>
      </c>
      <c r="J24" s="7" t="s">
        <v>66</v>
      </c>
      <c r="K24" s="7" t="s">
        <v>67</v>
      </c>
      <c r="L24" s="6" t="s">
        <v>68</v>
      </c>
      <c r="M24" s="7" t="s">
        <v>69</v>
      </c>
    </row>
    <row r="25" customFormat="false" ht="18" hidden="false" customHeight="true" outlineLevel="0" collapsed="false">
      <c r="B25" s="9" t="s">
        <v>70</v>
      </c>
      <c r="C25" s="11" t="s">
        <v>71</v>
      </c>
      <c r="D25" s="16" t="n">
        <v>5.12729340789191</v>
      </c>
      <c r="E25" s="16" t="n">
        <v>5.17343904856293</v>
      </c>
      <c r="F25" s="16" t="n">
        <v>5.22</v>
      </c>
      <c r="G25" s="16" t="n">
        <v>5.26698</v>
      </c>
      <c r="H25" s="16" t="n">
        <v>5.31438282</v>
      </c>
      <c r="I25" s="16" t="n">
        <v>5.36221226538</v>
      </c>
      <c r="J25" s="16" t="n">
        <v>5.41047217576842</v>
      </c>
      <c r="K25" s="16" t="n">
        <v>5.45916642535033</v>
      </c>
      <c r="L25" s="16" t="n">
        <v>5.50829892317849</v>
      </c>
    </row>
    <row r="26" customFormat="false" ht="18" hidden="false" customHeight="true" outlineLevel="0" collapsed="false">
      <c r="B26" s="9" t="s">
        <v>72</v>
      </c>
      <c r="C26" s="11" t="s">
        <v>73</v>
      </c>
      <c r="D26" s="17" t="n">
        <v>224</v>
      </c>
      <c r="E26" s="17" t="n">
        <v>226</v>
      </c>
      <c r="F26" s="17" t="n">
        <v>227</v>
      </c>
      <c r="G26" s="17" t="n">
        <v>229</v>
      </c>
      <c r="H26" s="17" t="n">
        <v>230</v>
      </c>
      <c r="I26" s="17" t="n">
        <v>232</v>
      </c>
      <c r="J26" s="17" t="n">
        <v>233</v>
      </c>
      <c r="K26" s="17" t="n">
        <v>234</v>
      </c>
      <c r="L26" s="17" t="n">
        <v>235</v>
      </c>
    </row>
    <row r="27" customFormat="false" ht="18" hidden="false" customHeight="true" outlineLevel="0" collapsed="false">
      <c r="B27" s="9" t="s">
        <v>74</v>
      </c>
      <c r="C27" s="11" t="s">
        <v>75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0</v>
      </c>
      <c r="J27" s="18" t="n">
        <v>0.005</v>
      </c>
      <c r="K27" s="18" t="n">
        <v>0.008</v>
      </c>
      <c r="L27" s="18" t="n">
        <v>0.01</v>
      </c>
    </row>
    <row r="28" customFormat="false" ht="18" hidden="false" customHeight="true" outlineLevel="0" collapsed="false">
      <c r="B28" s="9" t="s">
        <v>76</v>
      </c>
      <c r="C28" s="11" t="s">
        <v>75</v>
      </c>
      <c r="D28" s="18" t="n">
        <v>0</v>
      </c>
      <c r="E28" s="18" t="n">
        <v>0</v>
      </c>
      <c r="F28" s="18" t="n">
        <v>0</v>
      </c>
      <c r="G28" s="18" t="n">
        <v>0</v>
      </c>
      <c r="H28" s="18" t="n">
        <v>0</v>
      </c>
      <c r="I28" s="18" t="n">
        <v>0</v>
      </c>
      <c r="J28" s="18" t="n">
        <v>0.01</v>
      </c>
      <c r="K28" s="18" t="n">
        <v>0.018</v>
      </c>
      <c r="L28" s="18" t="n">
        <v>0.025</v>
      </c>
    </row>
    <row r="29" customFormat="false" ht="18" hidden="false" customHeight="true" outlineLevel="0" collapsed="false">
      <c r="B29" s="9" t="s">
        <v>77</v>
      </c>
      <c r="C29" s="11" t="s">
        <v>75</v>
      </c>
      <c r="D29" s="18" t="n">
        <v>0</v>
      </c>
      <c r="E29" s="18" t="n">
        <v>0</v>
      </c>
      <c r="F29" s="18" t="n">
        <v>0</v>
      </c>
      <c r="G29" s="18" t="n">
        <v>0</v>
      </c>
      <c r="H29" s="18" t="n">
        <v>0</v>
      </c>
      <c r="I29" s="18" t="n">
        <v>0</v>
      </c>
      <c r="J29" s="18" t="n">
        <v>0</v>
      </c>
      <c r="K29" s="18" t="n">
        <v>0</v>
      </c>
      <c r="L29" s="18" t="n">
        <v>0</v>
      </c>
    </row>
    <row r="30" customFormat="false" ht="18" hidden="false" customHeight="true" outlineLevel="0" collapsed="false">
      <c r="B30" s="9" t="s">
        <v>78</v>
      </c>
      <c r="C30" s="11" t="s">
        <v>79</v>
      </c>
      <c r="D30" s="18" t="n">
        <v>0.72</v>
      </c>
      <c r="E30" s="18" t="n">
        <v>0.72</v>
      </c>
      <c r="F30" s="18" t="n">
        <v>0.72</v>
      </c>
      <c r="G30" s="18" t="n">
        <v>0.72</v>
      </c>
      <c r="H30" s="18" t="n">
        <v>0.72</v>
      </c>
      <c r="I30" s="18" t="n">
        <v>0.72</v>
      </c>
      <c r="J30" s="18" t="n">
        <v>0.72</v>
      </c>
      <c r="K30" s="18" t="n">
        <v>0.72</v>
      </c>
      <c r="L30" s="18" t="n">
        <v>0.72</v>
      </c>
    </row>
    <row r="31" customFormat="false" ht="18" hidden="false" customHeight="true" outlineLevel="0" collapsed="false">
      <c r="B31" s="9" t="s">
        <v>80</v>
      </c>
      <c r="C31" s="11" t="s">
        <v>79</v>
      </c>
      <c r="D31" s="18" t="n">
        <v>0.15</v>
      </c>
      <c r="E31" s="18" t="n">
        <v>0.15</v>
      </c>
      <c r="F31" s="18" t="n">
        <v>0.15</v>
      </c>
      <c r="G31" s="18" t="n">
        <v>0.15</v>
      </c>
      <c r="H31" s="18" t="n">
        <v>0.15</v>
      </c>
      <c r="I31" s="18" t="n">
        <v>0.15</v>
      </c>
      <c r="J31" s="18" t="n">
        <v>0.15</v>
      </c>
      <c r="K31" s="18" t="n">
        <v>0.15</v>
      </c>
      <c r="L31" s="18" t="n">
        <v>0.15</v>
      </c>
    </row>
    <row r="32" customFormat="false" ht="18" hidden="false" customHeight="true" outlineLevel="0" collapsed="false">
      <c r="B32" s="9" t="s">
        <v>81</v>
      </c>
      <c r="C32" s="11" t="s">
        <v>79</v>
      </c>
      <c r="D32" s="18" t="n">
        <v>0.1</v>
      </c>
      <c r="E32" s="18" t="n">
        <v>0.1</v>
      </c>
      <c r="F32" s="18" t="n">
        <v>0.1</v>
      </c>
      <c r="G32" s="18" t="n">
        <v>0.1</v>
      </c>
      <c r="H32" s="18" t="n">
        <v>0.1</v>
      </c>
      <c r="I32" s="18" t="n">
        <v>0.1</v>
      </c>
      <c r="J32" s="18" t="n">
        <v>0.1</v>
      </c>
      <c r="K32" s="18" t="n">
        <v>0.1</v>
      </c>
      <c r="L32" s="18" t="n">
        <v>0.1</v>
      </c>
    </row>
    <row r="33" customFormat="false" ht="18" hidden="false" customHeight="true" outlineLevel="0" collapsed="false">
      <c r="B33" s="9" t="s">
        <v>82</v>
      </c>
      <c r="C33" s="11" t="s">
        <v>79</v>
      </c>
      <c r="D33" s="18" t="n">
        <v>0.03</v>
      </c>
      <c r="E33" s="18" t="n">
        <v>0.03</v>
      </c>
      <c r="F33" s="18" t="n">
        <v>0.03</v>
      </c>
      <c r="G33" s="18" t="n">
        <v>0.03</v>
      </c>
      <c r="H33" s="18" t="n">
        <v>0.03</v>
      </c>
      <c r="I33" s="18" t="n">
        <v>0.03</v>
      </c>
      <c r="J33" s="18" t="n">
        <v>0.03</v>
      </c>
      <c r="K33" s="18" t="n">
        <v>0.03</v>
      </c>
      <c r="L33" s="18" t="n">
        <v>0.03</v>
      </c>
    </row>
    <row r="34" customFormat="false" ht="18" hidden="false" customHeight="true" outlineLevel="0" collapsed="false"/>
    <row r="35" customFormat="false" ht="18" hidden="false" customHeight="true" outlineLevel="0" collapsed="false">
      <c r="A35" s="4" t="s">
        <v>83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customFormat="false" ht="18" hidden="false" customHeight="true" outlineLevel="0" collapsed="false">
      <c r="A36" s="6"/>
      <c r="B36" s="6" t="s">
        <v>58</v>
      </c>
      <c r="C36" s="7" t="s">
        <v>59</v>
      </c>
      <c r="D36" s="19" t="s">
        <v>60</v>
      </c>
      <c r="E36" s="19" t="s">
        <v>61</v>
      </c>
      <c r="F36" s="19" t="s">
        <v>62</v>
      </c>
      <c r="G36" s="19" t="s">
        <v>63</v>
      </c>
      <c r="H36" s="19" t="s">
        <v>64</v>
      </c>
      <c r="I36" s="19" t="s">
        <v>65</v>
      </c>
      <c r="J36" s="19" t="s">
        <v>66</v>
      </c>
      <c r="K36" s="19" t="s">
        <v>67</v>
      </c>
      <c r="L36" s="19" t="s">
        <v>68</v>
      </c>
      <c r="M36" s="7" t="s">
        <v>69</v>
      </c>
    </row>
    <row r="37" customFormat="false" ht="18" hidden="false" customHeight="true" outlineLevel="0" collapsed="false">
      <c r="B37" s="9" t="s">
        <v>84</v>
      </c>
      <c r="C37" s="11" t="s">
        <v>85</v>
      </c>
      <c r="D37" s="18" t="n">
        <v>0.33</v>
      </c>
      <c r="E37" s="18" t="n">
        <v>0.36</v>
      </c>
      <c r="F37" s="18" t="n">
        <v>0.38</v>
      </c>
      <c r="G37" s="18" t="n">
        <v>0.4</v>
      </c>
      <c r="H37" s="18" t="n">
        <v>0.4</v>
      </c>
      <c r="I37" s="18"/>
      <c r="J37" s="18"/>
      <c r="K37" s="18"/>
      <c r="L37" s="18"/>
    </row>
    <row r="38" customFormat="false" ht="18" hidden="false" customHeight="true" outlineLevel="0" collapsed="false">
      <c r="B38" s="9" t="s">
        <v>86</v>
      </c>
      <c r="C38" s="11" t="s">
        <v>85</v>
      </c>
      <c r="D38" s="18" t="n">
        <v>0.33</v>
      </c>
      <c r="E38" s="18" t="n">
        <v>0.29</v>
      </c>
      <c r="F38" s="18" t="n">
        <v>0.24</v>
      </c>
      <c r="G38" s="18" t="n">
        <v>0.22</v>
      </c>
      <c r="H38" s="18" t="n">
        <v>0.2</v>
      </c>
      <c r="I38" s="18"/>
      <c r="J38" s="18"/>
      <c r="K38" s="18"/>
      <c r="L38" s="18"/>
    </row>
    <row r="39" customFormat="false" ht="18" hidden="false" customHeight="true" outlineLevel="0" collapsed="false">
      <c r="B39" s="9" t="s">
        <v>87</v>
      </c>
      <c r="C39" s="11" t="s">
        <v>85</v>
      </c>
      <c r="D39" s="18" t="n">
        <v>0.31</v>
      </c>
      <c r="E39" s="18" t="n">
        <v>0.31</v>
      </c>
      <c r="F39" s="18" t="n">
        <v>0.34</v>
      </c>
      <c r="G39" s="18" t="n">
        <v>0.34</v>
      </c>
      <c r="H39" s="18" t="n">
        <v>0.36</v>
      </c>
      <c r="I39" s="18"/>
      <c r="J39" s="18"/>
      <c r="K39" s="18"/>
      <c r="L39" s="18"/>
    </row>
    <row r="40" customFormat="false" ht="18" hidden="false" customHeight="true" outlineLevel="0" collapsed="false">
      <c r="B40" s="9" t="s">
        <v>88</v>
      </c>
      <c r="C40" s="11" t="s">
        <v>85</v>
      </c>
      <c r="D40" s="18" t="n">
        <v>0.03</v>
      </c>
      <c r="E40" s="18" t="n">
        <v>0.04</v>
      </c>
      <c r="F40" s="18" t="n">
        <v>0.04</v>
      </c>
      <c r="G40" s="18" t="n">
        <v>0.04</v>
      </c>
      <c r="H40" s="18" t="n">
        <v>0.04</v>
      </c>
      <c r="I40" s="18"/>
      <c r="J40" s="18"/>
      <c r="K40" s="18"/>
      <c r="L40" s="18"/>
    </row>
    <row r="41" customFormat="false" ht="18" hidden="false" customHeight="true" outlineLevel="0" collapsed="false">
      <c r="B41" s="9" t="s">
        <v>89</v>
      </c>
      <c r="C41" s="11" t="s">
        <v>90</v>
      </c>
      <c r="D41" s="20" t="n">
        <v>5.75</v>
      </c>
      <c r="E41" s="20" t="n">
        <v>6.05</v>
      </c>
      <c r="F41" s="20" t="n">
        <v>6.3997614506501</v>
      </c>
      <c r="G41" s="20" t="n">
        <v>6.7</v>
      </c>
      <c r="H41" s="21"/>
      <c r="I41" s="21"/>
      <c r="J41" s="21"/>
      <c r="K41" s="21"/>
      <c r="L41" s="21"/>
    </row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>
      <c r="A44" s="4" t="s">
        <v>91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customFormat="false" ht="18" hidden="false" customHeight="true" outlineLevel="0" collapsed="false">
      <c r="A45" s="6"/>
      <c r="B45" s="6" t="s">
        <v>58</v>
      </c>
      <c r="C45" s="7" t="s">
        <v>59</v>
      </c>
      <c r="D45" s="7" t="s">
        <v>92</v>
      </c>
      <c r="E45" s="7" t="s">
        <v>93</v>
      </c>
      <c r="F45" s="7" t="s">
        <v>94</v>
      </c>
      <c r="G45" s="6" t="s">
        <v>69</v>
      </c>
    </row>
    <row r="46" customFormat="false" ht="18" hidden="false" customHeight="true" outlineLevel="0" collapsed="false">
      <c r="B46" s="9" t="s">
        <v>95</v>
      </c>
      <c r="C46" s="22" t="s">
        <v>90</v>
      </c>
      <c r="D46" s="20" t="n">
        <v>5.6</v>
      </c>
      <c r="E46" s="20" t="n">
        <v>5.4</v>
      </c>
      <c r="F46" s="20" t="n">
        <v>5.8</v>
      </c>
      <c r="G46" s="9" t="s">
        <v>96</v>
      </c>
    </row>
    <row r="47" customFormat="false" ht="18" hidden="false" customHeight="true" outlineLevel="0" collapsed="false">
      <c r="B47" s="9" t="s">
        <v>97</v>
      </c>
      <c r="C47" s="22" t="s">
        <v>90</v>
      </c>
      <c r="D47" s="20" t="n">
        <v>7</v>
      </c>
      <c r="E47" s="20" t="n">
        <v>6.8</v>
      </c>
      <c r="F47" s="20" t="n">
        <v>7.2</v>
      </c>
      <c r="G47" s="9" t="s">
        <v>98</v>
      </c>
    </row>
    <row r="48" customFormat="false" ht="18" hidden="false" customHeight="true" outlineLevel="0" collapsed="false">
      <c r="B48" s="9" t="s">
        <v>99</v>
      </c>
      <c r="C48" s="22" t="s">
        <v>90</v>
      </c>
      <c r="D48" s="20" t="n">
        <v>14</v>
      </c>
      <c r="E48" s="20" t="n">
        <v>13</v>
      </c>
      <c r="F48" s="20" t="n">
        <v>15</v>
      </c>
      <c r="G48" s="9" t="s">
        <v>100</v>
      </c>
    </row>
    <row r="49" customFormat="false" ht="18" hidden="false" customHeight="true" outlineLevel="0" collapsed="false">
      <c r="B49" s="9" t="s">
        <v>101</v>
      </c>
      <c r="C49" s="22" t="s">
        <v>90</v>
      </c>
      <c r="D49" s="20" t="n">
        <v>3.8</v>
      </c>
      <c r="E49" s="20" t="n">
        <v>3.6</v>
      </c>
      <c r="F49" s="20" t="n">
        <v>4</v>
      </c>
      <c r="G49" s="9" t="s">
        <v>102</v>
      </c>
    </row>
    <row r="50" customFormat="false" ht="18" hidden="false" customHeight="true" outlineLevel="0" collapsed="false">
      <c r="B50" s="9" t="s">
        <v>103</v>
      </c>
      <c r="C50" s="22" t="s">
        <v>90</v>
      </c>
      <c r="D50" s="20" t="n">
        <v>4.6</v>
      </c>
      <c r="E50" s="20" t="n">
        <v>4.4</v>
      </c>
      <c r="F50" s="20" t="n">
        <v>4.8</v>
      </c>
      <c r="G50" s="9" t="s">
        <v>104</v>
      </c>
    </row>
    <row r="51" customFormat="false" ht="18" hidden="false" customHeight="true" outlineLevel="0" collapsed="false">
      <c r="B51" s="9" t="s">
        <v>105</v>
      </c>
      <c r="C51" s="22" t="s">
        <v>90</v>
      </c>
      <c r="D51" s="20" t="n">
        <v>3.4</v>
      </c>
      <c r="E51" s="20" t="n">
        <v>3.2</v>
      </c>
      <c r="F51" s="20" t="n">
        <v>3.6</v>
      </c>
      <c r="G51" s="9" t="s">
        <v>106</v>
      </c>
    </row>
    <row r="52" customFormat="false" ht="18" hidden="false" customHeight="true" outlineLevel="0" collapsed="false">
      <c r="B52" s="9" t="s">
        <v>107</v>
      </c>
      <c r="C52" s="22" t="s">
        <v>90</v>
      </c>
      <c r="D52" s="20" t="n">
        <v>3.6</v>
      </c>
      <c r="E52" s="20" t="n">
        <v>3.4</v>
      </c>
      <c r="F52" s="20" t="n">
        <v>3.8</v>
      </c>
      <c r="G52" s="9" t="s">
        <v>108</v>
      </c>
    </row>
    <row r="53" customFormat="false" ht="18" hidden="false" customHeight="true" outlineLevel="0" collapsed="false">
      <c r="B53" s="9" t="s">
        <v>109</v>
      </c>
      <c r="C53" s="22" t="s">
        <v>90</v>
      </c>
      <c r="D53" s="20" t="n">
        <v>6</v>
      </c>
      <c r="E53" s="20" t="n">
        <v>5.6</v>
      </c>
      <c r="F53" s="20" t="n">
        <v>6.4</v>
      </c>
      <c r="G53" s="9" t="s">
        <v>110</v>
      </c>
    </row>
    <row r="54" customFormat="false" ht="18" hidden="false" customHeight="true" outlineLevel="0" collapsed="false">
      <c r="B54" s="9" t="s">
        <v>111</v>
      </c>
      <c r="C54" s="22" t="s">
        <v>90</v>
      </c>
      <c r="D54" s="20" t="n">
        <v>7.5</v>
      </c>
      <c r="E54" s="20" t="n">
        <v>7</v>
      </c>
      <c r="F54" s="20" t="n">
        <v>8</v>
      </c>
      <c r="G54" s="9" t="s">
        <v>112</v>
      </c>
    </row>
    <row r="55" customFormat="false" ht="18" hidden="false" customHeight="true" outlineLevel="0" collapsed="false">
      <c r="B55" s="9" t="s">
        <v>113</v>
      </c>
      <c r="C55" s="22" t="s">
        <v>90</v>
      </c>
      <c r="D55" s="20" t="n">
        <v>9.5</v>
      </c>
      <c r="E55" s="20" t="n">
        <v>9</v>
      </c>
      <c r="F55" s="20" t="n">
        <v>10</v>
      </c>
      <c r="G55" s="9" t="s">
        <v>114</v>
      </c>
    </row>
    <row r="56" customFormat="false" ht="18" hidden="false" customHeight="true" outlineLevel="0" collapsed="false">
      <c r="B56" s="9" t="s">
        <v>115</v>
      </c>
      <c r="C56" s="22" t="s">
        <v>90</v>
      </c>
      <c r="D56" s="20" t="n">
        <v>15</v>
      </c>
      <c r="E56" s="20" t="n">
        <v>14</v>
      </c>
      <c r="F56" s="20" t="n">
        <v>16</v>
      </c>
      <c r="G56" s="9" t="s">
        <v>116</v>
      </c>
    </row>
    <row r="57" customFormat="false" ht="18" hidden="false" customHeight="true" outlineLevel="0" collapsed="false">
      <c r="B57" s="9" t="s">
        <v>117</v>
      </c>
      <c r="C57" s="22" t="s">
        <v>118</v>
      </c>
      <c r="D57" s="18" t="n">
        <v>0.027</v>
      </c>
      <c r="E57" s="18" t="n">
        <v>0.015</v>
      </c>
      <c r="F57" s="18" t="n">
        <v>0.05</v>
      </c>
      <c r="G57" s="9" t="s">
        <v>119</v>
      </c>
    </row>
    <row r="58" customFormat="false" ht="18" hidden="false" customHeight="true" outlineLevel="0" collapsed="false">
      <c r="B58" s="9" t="s">
        <v>120</v>
      </c>
      <c r="C58" s="22" t="s">
        <v>121</v>
      </c>
      <c r="D58" s="23" t="n">
        <v>540</v>
      </c>
      <c r="E58" s="23" t="n">
        <v>535</v>
      </c>
      <c r="F58" s="23" t="n">
        <v>545</v>
      </c>
      <c r="G58" s="9" t="s">
        <v>122</v>
      </c>
    </row>
    <row r="59" customFormat="false" ht="18" hidden="false" customHeight="true" outlineLevel="0" collapsed="false">
      <c r="B59" s="9" t="s">
        <v>123</v>
      </c>
      <c r="C59" s="22" t="s">
        <v>121</v>
      </c>
      <c r="D59" s="23" t="n">
        <v>455</v>
      </c>
      <c r="E59" s="23" t="n">
        <v>445</v>
      </c>
      <c r="F59" s="23" t="n">
        <v>465</v>
      </c>
      <c r="G59" s="9" t="s">
        <v>124</v>
      </c>
    </row>
    <row r="60" customFormat="false" ht="18" hidden="false" customHeight="true" outlineLevel="0" collapsed="false">
      <c r="B60" s="9" t="s">
        <v>125</v>
      </c>
      <c r="C60" s="22" t="s">
        <v>126</v>
      </c>
      <c r="D60" s="18" t="n">
        <v>0.19</v>
      </c>
      <c r="E60" s="18" t="n">
        <v>0.15</v>
      </c>
      <c r="F60" s="18" t="n">
        <v>0.25</v>
      </c>
      <c r="G60" s="9" t="s">
        <v>127</v>
      </c>
    </row>
    <row r="61" customFormat="false" ht="18" hidden="false" customHeight="true" outlineLevel="0" collapsed="false">
      <c r="B61" s="9" t="s">
        <v>128</v>
      </c>
      <c r="C61" s="22" t="s">
        <v>129</v>
      </c>
      <c r="D61" s="21" t="n">
        <v>3.75</v>
      </c>
      <c r="E61" s="21" t="n">
        <v>3.4</v>
      </c>
      <c r="F61" s="21" t="n">
        <v>3.9</v>
      </c>
      <c r="G61" s="9" t="s">
        <v>130</v>
      </c>
    </row>
    <row r="62" customFormat="false" ht="18" hidden="false" customHeight="true" outlineLevel="0" collapsed="false">
      <c r="B62" s="9" t="s">
        <v>131</v>
      </c>
      <c r="C62" s="22" t="s">
        <v>132</v>
      </c>
      <c r="D62" s="17" t="n">
        <v>300</v>
      </c>
      <c r="E62" s="17" t="n">
        <v>290</v>
      </c>
      <c r="F62" s="17" t="n">
        <v>305</v>
      </c>
      <c r="G62" s="9" t="s">
        <v>133</v>
      </c>
    </row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>
      <c r="A65" s="4" t="s">
        <v>134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customFormat="false" ht="18" hidden="false" customHeight="true" outlineLevel="0" collapsed="false">
      <c r="A66" s="6"/>
      <c r="B66" s="6" t="s">
        <v>135</v>
      </c>
      <c r="C66" s="7" t="s">
        <v>136</v>
      </c>
      <c r="D66" s="7" t="s">
        <v>64</v>
      </c>
      <c r="E66" s="7" t="s">
        <v>65</v>
      </c>
      <c r="F66" s="7" t="s">
        <v>66</v>
      </c>
      <c r="G66" s="6" t="s">
        <v>67</v>
      </c>
      <c r="H66" s="6" t="s">
        <v>68</v>
      </c>
    </row>
    <row r="67" customFormat="false" ht="18" hidden="false" customHeight="true" outlineLevel="0" collapsed="false">
      <c r="B67" s="9" t="s">
        <v>137</v>
      </c>
      <c r="C67" s="9" t="s">
        <v>138</v>
      </c>
      <c r="D67" s="18" t="n">
        <v>0.18</v>
      </c>
      <c r="E67" s="18" t="n">
        <v>0.14</v>
      </c>
      <c r="F67" s="18" t="n">
        <v>0.12</v>
      </c>
      <c r="G67" s="24" t="n">
        <v>0.12</v>
      </c>
      <c r="H67" s="24" t="n">
        <v>0.12</v>
      </c>
    </row>
    <row r="68" customFormat="false" ht="18" hidden="false" customHeight="true" outlineLevel="0" collapsed="false">
      <c r="B68" s="9" t="s">
        <v>139</v>
      </c>
      <c r="C68" s="9" t="s">
        <v>138</v>
      </c>
      <c r="D68" s="18" t="n">
        <v>0.18</v>
      </c>
      <c r="E68" s="18" t="n">
        <v>0.15</v>
      </c>
      <c r="F68" s="18" t="n">
        <v>0.15</v>
      </c>
      <c r="G68" s="24" t="n">
        <v>0.15</v>
      </c>
      <c r="H68" s="24" t="n">
        <v>0.15</v>
      </c>
    </row>
    <row r="69" customFormat="false" ht="18" hidden="false" customHeight="true" outlineLevel="0" collapsed="false">
      <c r="B69" s="9" t="s">
        <v>140</v>
      </c>
      <c r="C69" s="9" t="s">
        <v>138</v>
      </c>
      <c r="D69" s="18" t="n">
        <v>0.18</v>
      </c>
      <c r="E69" s="18" t="n">
        <v>0.12</v>
      </c>
      <c r="F69" s="18" t="n">
        <v>0.08</v>
      </c>
      <c r="G69" s="24" t="n">
        <v>0.08</v>
      </c>
      <c r="H69" s="24" t="n">
        <v>0.08</v>
      </c>
    </row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>
      <c r="A72" s="4" t="s">
        <v>141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customFormat="false" ht="18" hidden="false" customHeight="true" outlineLevel="0" collapsed="false">
      <c r="A73" s="6"/>
      <c r="B73" s="6" t="s">
        <v>58</v>
      </c>
      <c r="C73" s="7" t="s">
        <v>59</v>
      </c>
      <c r="D73" s="7" t="s">
        <v>92</v>
      </c>
      <c r="E73" s="7" t="s">
        <v>93</v>
      </c>
      <c r="F73" s="7" t="s">
        <v>94</v>
      </c>
      <c r="G73" s="6" t="s">
        <v>69</v>
      </c>
    </row>
    <row r="74" customFormat="false" ht="18" hidden="false" customHeight="true" outlineLevel="0" collapsed="false">
      <c r="B74" s="9" t="s">
        <v>142</v>
      </c>
      <c r="C74" s="22" t="s">
        <v>143</v>
      </c>
      <c r="D74" s="21" t="n">
        <v>-1.34</v>
      </c>
      <c r="E74" s="21" t="n">
        <v>-1.1</v>
      </c>
      <c r="F74" s="21" t="n">
        <v>-1.6</v>
      </c>
      <c r="G74" s="9" t="s">
        <v>144</v>
      </c>
    </row>
    <row r="75" customFormat="false" ht="18" hidden="false" customHeight="true" outlineLevel="0" collapsed="false">
      <c r="B75" s="9" t="s">
        <v>145</v>
      </c>
      <c r="C75" s="22" t="s">
        <v>143</v>
      </c>
      <c r="D75" s="21" t="n">
        <v>-0.81</v>
      </c>
      <c r="E75" s="21" t="n">
        <v>-0.6</v>
      </c>
      <c r="F75" s="21" t="n">
        <v>-1</v>
      </c>
      <c r="G75" s="9" t="s">
        <v>146</v>
      </c>
    </row>
    <row r="76" customFormat="false" ht="18" hidden="false" customHeight="true" outlineLevel="0" collapsed="false">
      <c r="B76" s="9" t="s">
        <v>147</v>
      </c>
      <c r="C76" s="22" t="s">
        <v>143</v>
      </c>
      <c r="D76" s="21" t="n">
        <v>0.62</v>
      </c>
      <c r="E76" s="21" t="n">
        <v>0.5</v>
      </c>
      <c r="F76" s="21" t="n">
        <v>0.75</v>
      </c>
      <c r="G76" s="9" t="s">
        <v>148</v>
      </c>
    </row>
    <row r="77" customFormat="false" ht="18" hidden="false" customHeight="true" outlineLevel="0" collapsed="false">
      <c r="B77" s="9" t="s">
        <v>149</v>
      </c>
      <c r="C77" s="22" t="s">
        <v>143</v>
      </c>
      <c r="D77" s="21" t="n">
        <v>0.71</v>
      </c>
      <c r="E77" s="21" t="n">
        <v>0.55</v>
      </c>
      <c r="F77" s="21" t="n">
        <v>0.85</v>
      </c>
      <c r="G77" s="9" t="s">
        <v>150</v>
      </c>
    </row>
    <row r="78" customFormat="false" ht="18" hidden="false" customHeight="true" outlineLevel="0" collapsed="false">
      <c r="B78" s="9" t="s">
        <v>151</v>
      </c>
      <c r="C78" s="22" t="s">
        <v>152</v>
      </c>
      <c r="D78" s="18" t="n">
        <v>0.21</v>
      </c>
      <c r="E78" s="18" t="n">
        <v>0.2</v>
      </c>
      <c r="F78" s="18" t="n">
        <v>0.25</v>
      </c>
      <c r="G78" s="9" t="s">
        <v>153</v>
      </c>
    </row>
    <row r="79" customFormat="false" ht="18" hidden="false" customHeight="true" outlineLevel="0" collapsed="false">
      <c r="B79" s="9" t="s">
        <v>154</v>
      </c>
      <c r="C79" s="22" t="s">
        <v>155</v>
      </c>
      <c r="D79" s="17" t="n">
        <v>610</v>
      </c>
      <c r="E79" s="17" t="n">
        <v>600</v>
      </c>
      <c r="F79" s="17" t="n">
        <v>620</v>
      </c>
      <c r="G79" s="9" t="s">
        <v>156</v>
      </c>
    </row>
    <row r="80" customFormat="false" ht="18" hidden="false" customHeight="true" outlineLevel="0" collapsed="false">
      <c r="B80" s="9" t="s">
        <v>157</v>
      </c>
      <c r="C80" s="22" t="s">
        <v>158</v>
      </c>
      <c r="D80" s="18" t="n">
        <v>0.4</v>
      </c>
      <c r="E80" s="18" t="n">
        <v>0.38</v>
      </c>
      <c r="F80" s="18" t="n">
        <v>0.42</v>
      </c>
      <c r="G80" s="9" t="s">
        <v>159</v>
      </c>
    </row>
    <row r="81" customFormat="false" ht="18" hidden="false" customHeight="true" outlineLevel="0" collapsed="false">
      <c r="B81" s="9" t="s">
        <v>160</v>
      </c>
      <c r="C81" s="22" t="s">
        <v>158</v>
      </c>
      <c r="D81" s="18" t="n">
        <v>0.3</v>
      </c>
      <c r="E81" s="18" t="n">
        <v>0.28</v>
      </c>
      <c r="F81" s="18" t="n">
        <v>0.32</v>
      </c>
      <c r="G81" s="9" t="s">
        <v>159</v>
      </c>
    </row>
    <row r="82" customFormat="false" ht="18" hidden="false" customHeight="true" outlineLevel="0" collapsed="false">
      <c r="B82" s="9" t="s">
        <v>161</v>
      </c>
      <c r="C82" s="22" t="s">
        <v>158</v>
      </c>
      <c r="D82" s="18" t="n">
        <v>0.3</v>
      </c>
      <c r="E82" s="18" t="n">
        <v>0.28</v>
      </c>
      <c r="F82" s="18" t="n">
        <v>0.32</v>
      </c>
      <c r="G82" s="9" t="s">
        <v>162</v>
      </c>
    </row>
    <row r="83" customFormat="false" ht="18" hidden="false" customHeight="true" outlineLevel="0" collapsed="false">
      <c r="B83" s="9" t="s">
        <v>163</v>
      </c>
      <c r="C83" s="22" t="s">
        <v>164</v>
      </c>
      <c r="D83" s="18" t="n">
        <v>0.72</v>
      </c>
      <c r="E83" s="18" t="n">
        <v>0.7</v>
      </c>
      <c r="F83" s="18" t="n">
        <v>0.75</v>
      </c>
      <c r="G83" s="9" t="s">
        <v>165</v>
      </c>
    </row>
    <row r="84" customFormat="false" ht="18" hidden="false" customHeight="true" outlineLevel="0" collapsed="false">
      <c r="B84" s="9" t="s">
        <v>166</v>
      </c>
      <c r="C84" s="22" t="s">
        <v>164</v>
      </c>
      <c r="D84" s="18" t="n">
        <v>0.22</v>
      </c>
      <c r="E84" s="18" t="n">
        <v>0.2</v>
      </c>
      <c r="F84" s="18" t="n">
        <v>0.25</v>
      </c>
      <c r="G84" s="9" t="s">
        <v>167</v>
      </c>
    </row>
    <row r="85" customFormat="false" ht="18" hidden="false" customHeight="true" outlineLevel="0" collapsed="false">
      <c r="B85" s="9" t="s">
        <v>168</v>
      </c>
      <c r="C85" s="22" t="s">
        <v>164</v>
      </c>
      <c r="D85" s="18" t="n">
        <v>0.05</v>
      </c>
      <c r="E85" s="18" t="n">
        <v>0.04</v>
      </c>
      <c r="F85" s="18" t="n">
        <v>0.06</v>
      </c>
      <c r="G85" s="9" t="s">
        <v>169</v>
      </c>
    </row>
    <row r="86" customFormat="false" ht="18" hidden="false" customHeight="true" outlineLevel="0" collapsed="false">
      <c r="B86" s="9" t="s">
        <v>170</v>
      </c>
      <c r="C86" s="22" t="s">
        <v>164</v>
      </c>
      <c r="D86" s="18" t="n">
        <v>0.01</v>
      </c>
      <c r="E86" s="18" t="n">
        <v>0</v>
      </c>
      <c r="F86" s="18" t="n">
        <v>0.02</v>
      </c>
      <c r="G86" s="9" t="s">
        <v>171</v>
      </c>
    </row>
    <row r="87" customFormat="false" ht="18" hidden="false" customHeight="true" outlineLevel="0" collapsed="false">
      <c r="B87" s="9" t="s">
        <v>172</v>
      </c>
      <c r="C87" s="22" t="s">
        <v>173</v>
      </c>
      <c r="D87" s="25" t="n">
        <v>55</v>
      </c>
      <c r="E87" s="25" t="n">
        <v>45</v>
      </c>
      <c r="F87" s="25" t="n">
        <v>65</v>
      </c>
      <c r="G87" s="9" t="s">
        <v>174</v>
      </c>
    </row>
    <row r="88" customFormat="false" ht="18" hidden="false" customHeight="true" outlineLevel="0" collapsed="false">
      <c r="B88" s="9" t="s">
        <v>175</v>
      </c>
      <c r="C88" s="22" t="s">
        <v>176</v>
      </c>
      <c r="D88" s="26" t="n">
        <v>6</v>
      </c>
      <c r="E88" s="26" t="n">
        <v>4</v>
      </c>
      <c r="F88" s="26" t="n">
        <v>12</v>
      </c>
      <c r="G88" s="9" t="s">
        <v>177</v>
      </c>
    </row>
    <row r="89" customFormat="false" ht="18" hidden="false" customHeight="true" outlineLevel="0" collapsed="false">
      <c r="B89" s="9" t="s">
        <v>178</v>
      </c>
      <c r="C89" s="22" t="s">
        <v>176</v>
      </c>
      <c r="D89" s="26" t="n">
        <v>15</v>
      </c>
      <c r="E89" s="26" t="n">
        <v>12</v>
      </c>
      <c r="F89" s="26" t="n">
        <v>18</v>
      </c>
      <c r="G89" s="9" t="s">
        <v>179</v>
      </c>
    </row>
    <row r="90" customFormat="false" ht="18" hidden="false" customHeight="true" outlineLevel="0" collapsed="false">
      <c r="B90" s="9" t="s">
        <v>180</v>
      </c>
      <c r="C90" s="22" t="s">
        <v>176</v>
      </c>
      <c r="D90" s="26" t="n">
        <v>7.5</v>
      </c>
      <c r="E90" s="26" t="n">
        <v>6</v>
      </c>
      <c r="F90" s="26" t="n">
        <v>9</v>
      </c>
      <c r="G90" s="9" t="s">
        <v>181</v>
      </c>
    </row>
    <row r="91" customFormat="false" ht="18" hidden="false" customHeight="true" outlineLevel="0" collapsed="false">
      <c r="B91" s="9" t="s">
        <v>182</v>
      </c>
      <c r="C91" s="22" t="s">
        <v>176</v>
      </c>
      <c r="D91" s="26" t="n">
        <v>11</v>
      </c>
      <c r="E91" s="26" t="n">
        <v>9</v>
      </c>
      <c r="F91" s="26" t="n">
        <v>14</v>
      </c>
      <c r="G91" s="9" t="s">
        <v>183</v>
      </c>
    </row>
    <row r="92" customFormat="false" ht="18" hidden="false" customHeight="true" outlineLevel="0" collapsed="false">
      <c r="B92" s="9" t="s">
        <v>184</v>
      </c>
      <c r="C92" s="22" t="s">
        <v>90</v>
      </c>
      <c r="D92" s="20" t="n">
        <v>1.98</v>
      </c>
      <c r="E92" s="20" t="n">
        <v>1.85</v>
      </c>
      <c r="F92" s="20" t="n">
        <v>2.1</v>
      </c>
      <c r="G92" s="9" t="s">
        <v>185</v>
      </c>
    </row>
    <row r="93" customFormat="false" ht="18" hidden="false" customHeight="true" outlineLevel="0" collapsed="false">
      <c r="B93" s="9" t="s">
        <v>186</v>
      </c>
      <c r="C93" s="22" t="s">
        <v>187</v>
      </c>
      <c r="D93" s="18" t="n">
        <v>0.6</v>
      </c>
      <c r="E93" s="18" t="n">
        <v>0.55</v>
      </c>
      <c r="F93" s="18" t="n">
        <v>0.65</v>
      </c>
      <c r="G93" s="9" t="s">
        <v>188</v>
      </c>
    </row>
    <row r="94" customFormat="false" ht="18" hidden="false" customHeight="true" outlineLevel="0" collapsed="false">
      <c r="B94" s="9" t="s">
        <v>189</v>
      </c>
      <c r="C94" s="22" t="s">
        <v>190</v>
      </c>
      <c r="D94" s="18" t="n">
        <v>0.0095</v>
      </c>
      <c r="E94" s="18" t="n">
        <v>0.008</v>
      </c>
      <c r="F94" s="18" t="n">
        <v>0.011</v>
      </c>
      <c r="G94" s="9" t="s">
        <v>191</v>
      </c>
    </row>
    <row r="95" customFormat="false" ht="18" hidden="false" customHeight="true" outlineLevel="0" collapsed="false">
      <c r="B95" s="9" t="s">
        <v>192</v>
      </c>
      <c r="C95" s="22" t="s">
        <v>193</v>
      </c>
      <c r="D95" s="18" t="n">
        <v>0.2</v>
      </c>
      <c r="E95" s="18" t="n">
        <v>0.18</v>
      </c>
      <c r="F95" s="18" t="n">
        <v>0.22</v>
      </c>
      <c r="G95" s="9" t="s">
        <v>194</v>
      </c>
    </row>
    <row r="96" customFormat="false" ht="18" hidden="false" customHeight="true" outlineLevel="0" collapsed="false">
      <c r="B96" s="9" t="s">
        <v>195</v>
      </c>
      <c r="C96" s="22" t="s">
        <v>190</v>
      </c>
      <c r="D96" s="18" t="n">
        <v>0.0185</v>
      </c>
      <c r="E96" s="18" t="n">
        <v>0.015</v>
      </c>
      <c r="F96" s="18" t="n">
        <v>0.022</v>
      </c>
      <c r="G96" s="9" t="s">
        <v>196</v>
      </c>
    </row>
    <row r="97" customFormat="false" ht="18" hidden="false" customHeight="true" outlineLevel="0" collapsed="false">
      <c r="B97" s="9" t="s">
        <v>197</v>
      </c>
      <c r="C97" s="22" t="s">
        <v>187</v>
      </c>
      <c r="D97" s="18" t="n">
        <v>0.2</v>
      </c>
      <c r="E97" s="18" t="n">
        <v>0.18</v>
      </c>
      <c r="F97" s="18" t="n">
        <v>0.22</v>
      </c>
      <c r="G97" s="9" t="s">
        <v>198</v>
      </c>
    </row>
    <row r="98" customFormat="false" ht="18" hidden="false" customHeight="true" outlineLevel="0" collapsed="false">
      <c r="B98" s="9" t="s">
        <v>199</v>
      </c>
      <c r="C98" s="22" t="s">
        <v>200</v>
      </c>
      <c r="D98" s="18" t="n">
        <v>0.05</v>
      </c>
      <c r="E98" s="18" t="n">
        <v>0.03</v>
      </c>
      <c r="F98" s="18" t="n">
        <v>0.07</v>
      </c>
      <c r="G98" s="9" t="s">
        <v>201</v>
      </c>
    </row>
    <row r="99" customFormat="false" ht="18" hidden="false" customHeight="true" outlineLevel="0" collapsed="false">
      <c r="B99" s="9" t="s">
        <v>202</v>
      </c>
      <c r="C99" s="22" t="s">
        <v>203</v>
      </c>
      <c r="D99" s="23" t="n">
        <v>1</v>
      </c>
      <c r="E99" s="23" t="n">
        <v>0.5</v>
      </c>
      <c r="F99" s="23" t="n">
        <v>1.5</v>
      </c>
      <c r="G99" s="9" t="s">
        <v>204</v>
      </c>
    </row>
    <row r="100" customFormat="false" ht="18" hidden="false" customHeight="true" outlineLevel="0" collapsed="false">
      <c r="B100" s="9" t="s">
        <v>205</v>
      </c>
      <c r="C100" s="22" t="s">
        <v>121</v>
      </c>
      <c r="D100" s="23" t="n">
        <v>14</v>
      </c>
      <c r="E100" s="23" t="n">
        <v>10</v>
      </c>
      <c r="F100" s="23" t="n">
        <v>18</v>
      </c>
      <c r="G100" s="9" t="s">
        <v>206</v>
      </c>
    </row>
    <row r="101" customFormat="false" ht="18" hidden="false" customHeight="true" outlineLevel="0" collapsed="false">
      <c r="B101" s="9" t="s">
        <v>207</v>
      </c>
      <c r="C101" s="22" t="s">
        <v>121</v>
      </c>
      <c r="D101" s="23" t="n">
        <v>3.5</v>
      </c>
      <c r="E101" s="23" t="n">
        <v>3</v>
      </c>
      <c r="F101" s="23" t="n">
        <v>4</v>
      </c>
      <c r="G101" s="9" t="s">
        <v>208</v>
      </c>
    </row>
    <row r="102" customFormat="false" ht="18" hidden="false" customHeight="true" outlineLevel="0" collapsed="false"/>
    <row r="103" customFormat="false" ht="18" hidden="false" customHeight="true" outlineLevel="0" collapsed="false">
      <c r="B103" s="27" t="s">
        <v>209</v>
      </c>
      <c r="C103" s="9" t="s">
        <v>210</v>
      </c>
      <c r="D103" s="9"/>
      <c r="E103" s="9"/>
      <c r="F103" s="9"/>
      <c r="G103" s="9"/>
      <c r="H103" s="9"/>
      <c r="I103" s="9"/>
      <c r="J103" s="9"/>
      <c r="K103" s="9"/>
      <c r="L103" s="9"/>
    </row>
    <row r="104" customFormat="false" ht="18" hidden="false" customHeight="true" outlineLevel="0" collapsed="false"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customFormat="false" ht="18" hidden="false" customHeight="true" outlineLevel="0" collapsed="false"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</row>
  </sheetData>
  <autoFilter ref="B24:L101"/>
  <mergeCells count="2">
    <mergeCell ref="G5:L9"/>
    <mergeCell ref="C103:L105"/>
  </mergeCell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4"/>
    <col collapsed="false" customWidth="true" hidden="false" outlineLevel="0" max="5" min="2" style="1" width="14"/>
    <col collapsed="false" customWidth="true" hidden="false" outlineLevel="0" max="6" min="6" style="1" width="18"/>
    <col collapsed="false" customWidth="true" hidden="false" outlineLevel="0" max="7" min="7" style="1" width="65"/>
  </cols>
  <sheetData>
    <row r="1" customFormat="false" ht="24" hidden="false" customHeight="true" outlineLevel="0" collapsed="false">
      <c r="A1" s="2" t="s">
        <v>211</v>
      </c>
    </row>
    <row r="2" customFormat="false" ht="36" hidden="false" customHeight="true" outlineLevel="0" collapsed="false">
      <c r="A2" s="3" t="s">
        <v>212</v>
      </c>
    </row>
    <row r="3" customFormat="false" ht="18" hidden="false" customHeight="true" outlineLevel="0" collapsed="false"/>
    <row r="4" customFormat="false" ht="18" hidden="false" customHeight="true" outlineLevel="0" collapsed="false"/>
    <row r="5" customFormat="false" ht="18" hidden="false" customHeight="true" outlineLevel="0" collapsed="false">
      <c r="A5" s="6" t="s">
        <v>213</v>
      </c>
      <c r="B5" s="7" t="s">
        <v>60</v>
      </c>
      <c r="C5" s="7" t="s">
        <v>61</v>
      </c>
      <c r="D5" s="7" t="s">
        <v>62</v>
      </c>
      <c r="E5" s="7" t="s">
        <v>63</v>
      </c>
      <c r="F5" s="7" t="s">
        <v>214</v>
      </c>
    </row>
    <row r="6" customFormat="false" ht="18" hidden="false" customHeight="true" outlineLevel="0" collapsed="false"/>
    <row r="7" customFormat="false" ht="18" hidden="false" customHeight="true" outlineLevel="0" collapsed="false">
      <c r="A7" s="4" t="s">
        <v>215</v>
      </c>
      <c r="B7" s="5"/>
      <c r="C7" s="5"/>
      <c r="D7" s="5"/>
      <c r="E7" s="5"/>
      <c r="F7" s="5"/>
      <c r="G7" s="5"/>
    </row>
    <row r="8" customFormat="false" ht="18" hidden="false" customHeight="true" outlineLevel="0" collapsed="false">
      <c r="A8" s="9" t="s">
        <v>70</v>
      </c>
      <c r="B8" s="28" t="n">
        <f aca="false">Assumptions!D25</f>
        <v>5.12729340789191</v>
      </c>
      <c r="C8" s="28" t="n">
        <f aca="false">Assumptions!E25</f>
        <v>5.17343904856293</v>
      </c>
      <c r="D8" s="28" t="n">
        <f aca="false">Assumptions!F25</f>
        <v>5.22</v>
      </c>
      <c r="E8" s="28" t="n">
        <f aca="false">Assumptions!G25</f>
        <v>5.26698</v>
      </c>
      <c r="F8" s="15" t="s">
        <v>216</v>
      </c>
    </row>
    <row r="9" customFormat="false" ht="18" hidden="false" customHeight="true" outlineLevel="0" collapsed="false">
      <c r="A9" s="9" t="s">
        <v>72</v>
      </c>
      <c r="B9" s="29" t="n">
        <f aca="false">Assumptions!D26</f>
        <v>224</v>
      </c>
      <c r="C9" s="29" t="n">
        <f aca="false">Assumptions!E26</f>
        <v>226</v>
      </c>
      <c r="D9" s="29" t="n">
        <f aca="false">Assumptions!F26</f>
        <v>227</v>
      </c>
      <c r="E9" s="29" t="n">
        <f aca="false">Assumptions!G26</f>
        <v>229</v>
      </c>
      <c r="F9" s="15" t="s">
        <v>217</v>
      </c>
    </row>
    <row r="10" customFormat="false" ht="18" hidden="false" customHeight="true" outlineLevel="0" collapsed="false">
      <c r="A10" s="9" t="s">
        <v>218</v>
      </c>
      <c r="B10" s="30" t="n">
        <f aca="false">B8*B9/12</f>
        <v>95.7094769473157</v>
      </c>
      <c r="C10" s="30" t="n">
        <f aca="false">C8*C9/12</f>
        <v>97.4331020812685</v>
      </c>
      <c r="D10" s="30" t="n">
        <f aca="false">D8*D9/12</f>
        <v>98.745</v>
      </c>
      <c r="E10" s="30" t="n">
        <f aca="false">E8*E9/12</f>
        <v>100.511535</v>
      </c>
      <c r="F10" s="15" t="s">
        <v>219</v>
      </c>
    </row>
    <row r="11" customFormat="false" ht="18" hidden="false" customHeight="true" outlineLevel="0" collapsed="false">
      <c r="A11" s="9" t="s">
        <v>220</v>
      </c>
      <c r="B11" s="31" t="n">
        <f aca="false">Assumptions!D30</f>
        <v>0.72</v>
      </c>
      <c r="C11" s="31" t="n">
        <f aca="false">Assumptions!E30</f>
        <v>0.72</v>
      </c>
      <c r="D11" s="31" t="n">
        <f aca="false">Assumptions!F30</f>
        <v>0.72</v>
      </c>
      <c r="E11" s="31" t="n">
        <f aca="false">Assumptions!G30</f>
        <v>0.72</v>
      </c>
      <c r="F11" s="15" t="s">
        <v>221</v>
      </c>
    </row>
    <row r="12" customFormat="false" ht="18" hidden="false" customHeight="true" outlineLevel="0" collapsed="false">
      <c r="A12" s="9" t="s">
        <v>222</v>
      </c>
      <c r="B12" s="30" t="n">
        <f aca="false">B10*B11</f>
        <v>68.9108234020673</v>
      </c>
      <c r="C12" s="30" t="n">
        <f aca="false">C10*C11</f>
        <v>70.1518334985133</v>
      </c>
      <c r="D12" s="30" t="n">
        <f aca="false">D10*D11</f>
        <v>71.0964</v>
      </c>
      <c r="E12" s="30" t="n">
        <f aca="false">E10*E11</f>
        <v>72.3683052</v>
      </c>
      <c r="F12" s="15" t="s">
        <v>223</v>
      </c>
    </row>
    <row r="13" customFormat="false" ht="18" hidden="false" customHeight="true" outlineLevel="0" collapsed="false">
      <c r="A13" s="9" t="s">
        <v>224</v>
      </c>
      <c r="B13" s="32" t="n">
        <f aca="false">Assumptions!D41</f>
        <v>5.75</v>
      </c>
      <c r="C13" s="32" t="n">
        <f aca="false">Assumptions!E41</f>
        <v>6.05</v>
      </c>
      <c r="D13" s="32" t="n">
        <f aca="false">Assumptions!F41</f>
        <v>6.3997614506501</v>
      </c>
      <c r="E13" s="32" t="n">
        <f aca="false">Assumptions!G41</f>
        <v>6.7</v>
      </c>
      <c r="F13" s="15" t="s">
        <v>225</v>
      </c>
    </row>
    <row r="14" customFormat="false" ht="18" hidden="false" customHeight="true" outlineLevel="0" collapsed="false">
      <c r="A14" s="9" t="s">
        <v>226</v>
      </c>
      <c r="B14" s="33" t="n">
        <f aca="false">B12*B13</f>
        <v>396.237234561887</v>
      </c>
      <c r="C14" s="33" t="n">
        <f aca="false">C12*C13</f>
        <v>424.418592666006</v>
      </c>
      <c r="D14" s="33" t="n">
        <f aca="false">D12*D13</f>
        <v>455</v>
      </c>
      <c r="E14" s="33" t="n">
        <f aca="false">E12*E13</f>
        <v>484.86764484</v>
      </c>
      <c r="F14" s="15" t="s">
        <v>227</v>
      </c>
    </row>
    <row r="15" customFormat="false" ht="18" hidden="false" customHeight="true" outlineLevel="0" collapsed="false">
      <c r="A15" s="9" t="s">
        <v>228</v>
      </c>
      <c r="B15" s="34"/>
      <c r="C15" s="34" t="n">
        <f aca="false">C14/B14-1</f>
        <v>0.0711224378881969</v>
      </c>
      <c r="D15" s="34" t="n">
        <f aca="false">D14/C14-1</f>
        <v>0.0720548247943045</v>
      </c>
      <c r="E15" s="34" t="n">
        <f aca="false">E14/D14-1</f>
        <v>0.065643175472528</v>
      </c>
      <c r="F15" s="15" t="s">
        <v>229</v>
      </c>
    </row>
    <row r="16" customFormat="false" ht="18" hidden="false" customHeight="true" outlineLevel="0" collapsed="false">
      <c r="A16" s="9" t="s">
        <v>230</v>
      </c>
      <c r="B16" s="31" t="n">
        <f aca="false">Assumptions!$D$60</f>
        <v>0.19</v>
      </c>
      <c r="C16" s="31" t="n">
        <f aca="false">Assumptions!$D$60</f>
        <v>0.19</v>
      </c>
      <c r="D16" s="31" t="n">
        <f aca="false">Assumptions!$D$60</f>
        <v>0.19</v>
      </c>
      <c r="E16" s="31" t="n">
        <f aca="false">Assumptions!$D$60</f>
        <v>0.19</v>
      </c>
      <c r="F16" s="15" t="s">
        <v>231</v>
      </c>
    </row>
    <row r="17" customFormat="false" ht="18" hidden="false" customHeight="true" outlineLevel="0" collapsed="false">
      <c r="A17" s="9" t="s">
        <v>232</v>
      </c>
      <c r="B17" s="33" t="n">
        <f aca="false">B14*(1+B16)</f>
        <v>471.522309128645</v>
      </c>
      <c r="C17" s="33" t="n">
        <f aca="false">C14*(1+C16)</f>
        <v>505.058125272547</v>
      </c>
      <c r="D17" s="33" t="n">
        <f aca="false">D14*(1+D16)</f>
        <v>541.45</v>
      </c>
      <c r="E17" s="33" t="n">
        <f aca="false">E14*(1+E16)</f>
        <v>576.9924973596</v>
      </c>
      <c r="F17" s="15" t="s">
        <v>233</v>
      </c>
    </row>
    <row r="18" customFormat="false" ht="18" hidden="false" customHeight="true" outlineLevel="0" collapsed="false">
      <c r="A18" s="9" t="s">
        <v>234</v>
      </c>
      <c r="B18" s="30" t="n">
        <f aca="false">B17-B14</f>
        <v>75.2850745667585</v>
      </c>
      <c r="C18" s="30" t="n">
        <f aca="false">C17-C14</f>
        <v>80.639532606541</v>
      </c>
      <c r="D18" s="30" t="n">
        <f aca="false">D17-D14</f>
        <v>86.4499999999999</v>
      </c>
      <c r="E18" s="30" t="n">
        <f aca="false">E17-E14</f>
        <v>92.1248525196</v>
      </c>
      <c r="F18" s="15" t="s">
        <v>235</v>
      </c>
    </row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>
      <c r="A21" s="4" t="s">
        <v>236</v>
      </c>
      <c r="B21" s="5"/>
      <c r="C21" s="5"/>
      <c r="D21" s="5"/>
      <c r="E21" s="5"/>
      <c r="F21" s="5"/>
      <c r="G21" s="5"/>
    </row>
    <row r="22" customFormat="false" ht="18" hidden="false" customHeight="true" outlineLevel="0" collapsed="false">
      <c r="A22" s="6" t="s">
        <v>237</v>
      </c>
      <c r="B22" s="7" t="s">
        <v>60</v>
      </c>
      <c r="C22" s="7" t="s">
        <v>61</v>
      </c>
      <c r="D22" s="7" t="s">
        <v>62</v>
      </c>
      <c r="E22" s="7" t="s">
        <v>63</v>
      </c>
      <c r="F22" s="7" t="s">
        <v>238</v>
      </c>
    </row>
    <row r="23" customFormat="false" ht="18" hidden="false" customHeight="true" outlineLevel="0" collapsed="false">
      <c r="A23" s="9" t="s">
        <v>239</v>
      </c>
      <c r="B23" s="35" t="n">
        <f aca="false">B14</f>
        <v>396.237234561887</v>
      </c>
      <c r="C23" s="35" t="n">
        <f aca="false">C14</f>
        <v>424.418592666006</v>
      </c>
      <c r="D23" s="35" t="n">
        <f aca="false">D14</f>
        <v>455</v>
      </c>
      <c r="E23" s="35" t="n">
        <f aca="false">E14</f>
        <v>484.86764484</v>
      </c>
      <c r="F23" s="15" t="s">
        <v>240</v>
      </c>
    </row>
    <row r="24" customFormat="false" ht="18" hidden="false" customHeight="true" outlineLevel="0" collapsed="false">
      <c r="A24" s="9" t="s">
        <v>241</v>
      </c>
      <c r="B24" s="36" t="n">
        <f aca="false">B18*Assumptions!D31/(Assumptions!D31+Assumptions!D32+Assumptions!D33)</f>
        <v>40.3312899464777</v>
      </c>
      <c r="C24" s="36" t="n">
        <f aca="false">C18*Assumptions!E31/(Assumptions!E31+Assumptions!E32+Assumptions!E33)</f>
        <v>43.199749610647</v>
      </c>
      <c r="D24" s="36" t="n">
        <f aca="false">D18*Assumptions!F31/(Assumptions!F31+Assumptions!F32+Assumptions!F33)</f>
        <v>46.3125</v>
      </c>
      <c r="E24" s="36" t="n">
        <f aca="false">E18*Assumptions!G31/(Assumptions!G31+Assumptions!G32+Assumptions!G33)</f>
        <v>49.3525995640714</v>
      </c>
      <c r="F24" s="15" t="s">
        <v>242</v>
      </c>
    </row>
    <row r="25" customFormat="false" ht="18" hidden="false" customHeight="true" outlineLevel="0" collapsed="false">
      <c r="A25" s="9" t="s">
        <v>243</v>
      </c>
      <c r="B25" s="36" t="n">
        <f aca="false">B18*Assumptions!D32/(Assumptions!D31+Assumptions!D32+Assumptions!D33)</f>
        <v>26.8875266309852</v>
      </c>
      <c r="C25" s="36" t="n">
        <f aca="false">C18*Assumptions!E32/(Assumptions!E31+Assumptions!E32+Assumptions!E33)</f>
        <v>28.7998330737647</v>
      </c>
      <c r="D25" s="36" t="n">
        <f aca="false">D18*Assumptions!F32/(Assumptions!F31+Assumptions!F32+Assumptions!F33)</f>
        <v>30.875</v>
      </c>
      <c r="E25" s="36" t="n">
        <f aca="false">E18*Assumptions!G32/(Assumptions!G31+Assumptions!G32+Assumptions!G33)</f>
        <v>32.9017330427143</v>
      </c>
      <c r="F25" s="15" t="s">
        <v>242</v>
      </c>
    </row>
    <row r="26" customFormat="false" ht="18" hidden="false" customHeight="true" outlineLevel="0" collapsed="false">
      <c r="A26" s="9" t="s">
        <v>244</v>
      </c>
      <c r="B26" s="36" t="n">
        <f aca="false">B18*Assumptions!D33/(Assumptions!D31+Assumptions!D32+Assumptions!D33)</f>
        <v>8.06625798929555</v>
      </c>
      <c r="C26" s="36" t="n">
        <f aca="false">C18*Assumptions!E33/(Assumptions!E31+Assumptions!E32+Assumptions!E33)</f>
        <v>8.6399499221294</v>
      </c>
      <c r="D26" s="36" t="n">
        <f aca="false">D18*Assumptions!F33/(Assumptions!F31+Assumptions!F32+Assumptions!F33)</f>
        <v>9.26249999999999</v>
      </c>
      <c r="E26" s="36" t="n">
        <f aca="false">E18*Assumptions!G33/(Assumptions!G31+Assumptions!G32+Assumptions!G33)</f>
        <v>9.87051991281428</v>
      </c>
      <c r="F26" s="15" t="s">
        <v>245</v>
      </c>
    </row>
    <row r="27" customFormat="false" ht="18" hidden="false" customHeight="true" outlineLevel="0" collapsed="false">
      <c r="A27" s="9" t="s">
        <v>246</v>
      </c>
      <c r="B27" s="37" t="n">
        <f aca="false">SUM(B23:B26)</f>
        <v>471.522309128645</v>
      </c>
      <c r="C27" s="37" t="n">
        <f aca="false">SUM(C23:C26)</f>
        <v>505.058125272547</v>
      </c>
      <c r="D27" s="37" t="n">
        <f aca="false">SUM(D23:D26)</f>
        <v>541.45</v>
      </c>
      <c r="E27" s="37" t="n">
        <f aca="false">SUM(E23:E26)</f>
        <v>576.9924973596</v>
      </c>
      <c r="F27" s="15" t="s">
        <v>247</v>
      </c>
    </row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>
      <c r="A30" s="4" t="s">
        <v>248</v>
      </c>
      <c r="B30" s="5"/>
      <c r="C30" s="5"/>
      <c r="D30" s="5"/>
      <c r="E30" s="5"/>
      <c r="F30" s="5"/>
      <c r="G30" s="5"/>
    </row>
    <row r="31" customFormat="false" ht="18" hidden="false" customHeight="true" outlineLevel="0" collapsed="false">
      <c r="A31" s="6" t="s">
        <v>249</v>
      </c>
      <c r="B31" s="7" t="s">
        <v>60</v>
      </c>
      <c r="C31" s="7" t="s">
        <v>61</v>
      </c>
      <c r="D31" s="7" t="s">
        <v>62</v>
      </c>
      <c r="E31" s="7" t="s">
        <v>63</v>
      </c>
      <c r="F31" s="7" t="s">
        <v>238</v>
      </c>
    </row>
    <row r="32" customFormat="false" ht="18" hidden="false" customHeight="true" outlineLevel="0" collapsed="false">
      <c r="A32" s="9" t="s">
        <v>250</v>
      </c>
      <c r="B32" s="36" t="n">
        <f aca="false">B14*(Assumptions!D37*0.8)/(Assumptions!D37*0.8+Assumptions!D38*1+Assumptions!D39*1.3+Assumptions!D40*2)</f>
        <v>98.9655912245394</v>
      </c>
      <c r="C32" s="36" t="n">
        <f aca="false">C14*(Assumptions!E37*0.8)/(Assumptions!E37*0.8+Assumptions!E38*1+Assumptions!E39*1.3+Assumptions!E40*2)</f>
        <v>115.205046831112</v>
      </c>
      <c r="D32" s="36" t="n">
        <f aca="false">D14*(Assumptions!F37*0.8)/(Assumptions!F37*0.8+Assumptions!F38*1+Assumptions!F39*1.3+Assumptions!F40*2)</f>
        <v>129.756097560976</v>
      </c>
      <c r="E32" s="36" t="n">
        <f aca="false">E14*(Assumptions!G37*0.8)/(Assumptions!G37*0.8+Assumptions!G38*1+Assumptions!G39*1.22+Assumptions!G40*2)</f>
        <v>149.939743282567</v>
      </c>
      <c r="F32" s="15" t="s">
        <v>251</v>
      </c>
    </row>
    <row r="33" customFormat="false" ht="18" hidden="false" customHeight="true" outlineLevel="0" collapsed="false">
      <c r="A33" s="9" t="s">
        <v>252</v>
      </c>
      <c r="B33" s="36" t="n">
        <f aca="false">B14*(Assumptions!D38*1)/(Assumptions!D37*0.8+Assumptions!D38*1+Assumptions!D39*1.3+Assumptions!D40*2)</f>
        <v>123.706989030674</v>
      </c>
      <c r="C33" s="36" t="n">
        <f aca="false">C14*(Assumptions!E38*1)/(Assumptions!E37*0.8+Assumptions!E38*1+Assumptions!E39*1.3+Assumptions!E40*2)</f>
        <v>116.00508187855</v>
      </c>
      <c r="D33" s="36" t="n">
        <f aca="false">D14*(Assumptions!F38*1)/(Assumptions!F37*0.8+Assumptions!F38*1+Assumptions!F39*1.3+Assumptions!F40*2)</f>
        <v>102.439024390244</v>
      </c>
      <c r="E33" s="36" t="n">
        <f aca="false">E14*(Assumptions!G38*1)/(Assumptions!G37*0.8+Assumptions!G38*1+Assumptions!G39*1.22+Assumptions!G40*2)</f>
        <v>103.083573506765</v>
      </c>
      <c r="F33" s="15" t="s">
        <v>253</v>
      </c>
    </row>
    <row r="34" customFormat="false" ht="18" hidden="false" customHeight="true" outlineLevel="0" collapsed="false">
      <c r="A34" s="9" t="s">
        <v>254</v>
      </c>
      <c r="B34" s="36" t="n">
        <f aca="false">B14*(Assumptions!D39*1.3)/(Assumptions!D37*0.8+Assumptions!D38*1+Assumptions!D39*1.3+Assumptions!D40*2)</f>
        <v>151.072474482914</v>
      </c>
      <c r="C34" s="36" t="n">
        <f aca="false">C14*(Assumptions!E39*1.3)/(Assumptions!E37*0.8+Assumptions!E38*1+Assumptions!E39*1.3+Assumptions!E40*2)</f>
        <v>161.207062058813</v>
      </c>
      <c r="D34" s="36" t="n">
        <f aca="false">D14*(Assumptions!F39*1.3)/(Assumptions!F37*0.8+Assumptions!F38*1+Assumptions!F39*1.3+Assumptions!F40*2)</f>
        <v>188.658536585366</v>
      </c>
      <c r="E34" s="36" t="n">
        <f aca="false">E14*(Assumptions!G39*1.22)/(Assumptions!G37*0.8+Assumptions!G38*1+Assumptions!G39*1.22+Assumptions!G40*2)</f>
        <v>194.359392230027</v>
      </c>
      <c r="F34" s="15" t="s">
        <v>255</v>
      </c>
    </row>
    <row r="35" customFormat="false" ht="18" hidden="false" customHeight="true" outlineLevel="0" collapsed="false">
      <c r="A35" s="9" t="s">
        <v>256</v>
      </c>
      <c r="B35" s="36" t="n">
        <f aca="false">B14*(Assumptions!D40*2)/(Assumptions!D37*0.8+Assumptions!D38*1+Assumptions!D39*1.3+Assumptions!D40*2)</f>
        <v>22.4921798237589</v>
      </c>
      <c r="C35" s="36" t="n">
        <f aca="false">C14*(Assumptions!E40*2)/(Assumptions!E37*0.8+Assumptions!E38*1+Assumptions!E39*1.3+Assumptions!E40*2)</f>
        <v>32.001401897531</v>
      </c>
      <c r="D35" s="36" t="n">
        <f aca="false">D14*(Assumptions!F40*2)/(Assumptions!F37*0.8+Assumptions!F38*1+Assumptions!F39*1.3+Assumptions!F40*2)</f>
        <v>34.1463414634146</v>
      </c>
      <c r="E35" s="36" t="n">
        <f aca="false">E14*(Assumptions!G40*2)/(Assumptions!G37*0.8+Assumptions!G38*1+Assumptions!G39*1.22+Assumptions!G40*2)</f>
        <v>37.4849358206417</v>
      </c>
      <c r="F35" s="15" t="s">
        <v>257</v>
      </c>
    </row>
    <row r="36" customFormat="false" ht="18" hidden="false" customHeight="true" outlineLevel="0" collapsed="false">
      <c r="A36" s="9" t="s">
        <v>258</v>
      </c>
      <c r="B36" s="37" t="n">
        <f aca="false">SUM(B32:B35)</f>
        <v>396.237234561887</v>
      </c>
      <c r="C36" s="37" t="n">
        <f aca="false">SUM(C32:C35)</f>
        <v>424.418592666006</v>
      </c>
      <c r="D36" s="37" t="n">
        <f aca="false">SUM(D32:D35)</f>
        <v>455</v>
      </c>
      <c r="E36" s="37" t="n">
        <f aca="false">SUM(E32:E35)</f>
        <v>484.86764484</v>
      </c>
      <c r="F36" s="15" t="s">
        <v>259</v>
      </c>
    </row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>
      <c r="A39" s="4" t="s">
        <v>260</v>
      </c>
      <c r="B39" s="5"/>
      <c r="C39" s="5"/>
      <c r="D39" s="5"/>
      <c r="E39" s="5"/>
      <c r="F39" s="5"/>
      <c r="G39" s="5"/>
    </row>
    <row r="40" customFormat="false" ht="18" hidden="false" customHeight="true" outlineLevel="0" collapsed="false">
      <c r="A40" s="6" t="s">
        <v>261</v>
      </c>
      <c r="B40" s="7" t="s">
        <v>60</v>
      </c>
      <c r="C40" s="7" t="s">
        <v>61</v>
      </c>
      <c r="D40" s="7" t="s">
        <v>62</v>
      </c>
      <c r="E40" s="7" t="s">
        <v>63</v>
      </c>
      <c r="F40" s="7" t="s">
        <v>262</v>
      </c>
    </row>
    <row r="41" customFormat="false" ht="18" hidden="false" customHeight="true" outlineLevel="0" collapsed="false">
      <c r="A41" s="9" t="s">
        <v>263</v>
      </c>
      <c r="B41" s="26" t="n">
        <v>76.5</v>
      </c>
      <c r="C41" s="26" t="n">
        <v>80.1</v>
      </c>
      <c r="D41" s="26" t="n">
        <v>84.6</v>
      </c>
      <c r="E41" s="26" t="n">
        <v>90.5</v>
      </c>
      <c r="F41" s="15" t="s">
        <v>264</v>
      </c>
    </row>
    <row r="42" customFormat="false" ht="18" hidden="false" customHeight="true" outlineLevel="0" collapsed="false">
      <c r="A42" s="9" t="s">
        <v>265</v>
      </c>
      <c r="B42" s="26" t="n">
        <v>11.8</v>
      </c>
      <c r="C42" s="26" t="n">
        <v>12.4</v>
      </c>
      <c r="D42" s="26" t="n">
        <v>13.1</v>
      </c>
      <c r="E42" s="26" t="n">
        <v>13.886</v>
      </c>
      <c r="F42" s="15" t="s">
        <v>266</v>
      </c>
    </row>
    <row r="43" customFormat="false" ht="18" hidden="false" customHeight="true" outlineLevel="0" collapsed="false">
      <c r="A43" s="9" t="s">
        <v>267</v>
      </c>
      <c r="B43" s="26" t="n">
        <v>8.9</v>
      </c>
      <c r="C43" s="26" t="n">
        <v>9.7</v>
      </c>
      <c r="D43" s="26" t="n">
        <v>10.8</v>
      </c>
      <c r="E43" s="30" t="n">
        <f aca="false">E41*D44</f>
        <v>11.5531914893617</v>
      </c>
      <c r="F43" s="15" t="s">
        <v>268</v>
      </c>
    </row>
    <row r="44" customFormat="false" ht="18" hidden="false" customHeight="true" outlineLevel="0" collapsed="false">
      <c r="A44" s="9" t="s">
        <v>269</v>
      </c>
      <c r="B44" s="34" t="n">
        <f aca="false">B43/B41</f>
        <v>0.116339869281046</v>
      </c>
      <c r="C44" s="34" t="n">
        <f aca="false">C43/C41</f>
        <v>0.121098626716604</v>
      </c>
      <c r="D44" s="34" t="n">
        <f aca="false">D43/D41</f>
        <v>0.127659574468085</v>
      </c>
      <c r="E44" s="34" t="n">
        <f aca="false">E43/E41</f>
        <v>0.127659574468085</v>
      </c>
      <c r="F44" s="15" t="s">
        <v>270</v>
      </c>
    </row>
    <row r="45" customFormat="false" ht="18" hidden="false" customHeight="true" outlineLevel="0" collapsed="false">
      <c r="A45" s="9" t="s">
        <v>271</v>
      </c>
      <c r="B45" s="34" t="n">
        <f aca="false">B41/B17</f>
        <v>0.162240467776316</v>
      </c>
      <c r="C45" s="34" t="n">
        <f aca="false">C41/C17</f>
        <v>0.158595607103193</v>
      </c>
      <c r="D45" s="34" t="n">
        <f aca="false">D41/D17</f>
        <v>0.156247114230308</v>
      </c>
      <c r="E45" s="34" t="n">
        <f aca="false">E41/E17</f>
        <v>0.156847793366709</v>
      </c>
      <c r="F45" s="15" t="s">
        <v>272</v>
      </c>
    </row>
    <row r="46" customFormat="false" ht="18" hidden="false" customHeight="true" outlineLevel="0" collapsed="false">
      <c r="A46" s="9" t="s">
        <v>273</v>
      </c>
      <c r="B46" s="34" t="n">
        <f aca="false">B42/B10</f>
        <v>0.123289776272578</v>
      </c>
      <c r="C46" s="34" t="n">
        <f aca="false">C42/C10</f>
        <v>0.12726680907334</v>
      </c>
      <c r="D46" s="34" t="n">
        <f aca="false">D42/D10</f>
        <v>0.132664945060509</v>
      </c>
      <c r="E46" s="34" t="n">
        <f aca="false">E42/E10</f>
        <v>0.138153297529483</v>
      </c>
      <c r="F46" s="15" t="s">
        <v>274</v>
      </c>
    </row>
    <row r="47" customFormat="false" ht="18" hidden="false" customHeight="true" outlineLevel="0" collapsed="false">
      <c r="A47" s="9" t="s">
        <v>275</v>
      </c>
      <c r="B47" s="30" t="n">
        <f aca="false">B41/B42</f>
        <v>6.48305084745763</v>
      </c>
      <c r="C47" s="30" t="n">
        <f aca="false">C41/C42</f>
        <v>6.45967741935484</v>
      </c>
      <c r="D47" s="30" t="n">
        <f aca="false">D41/D42</f>
        <v>6.45801526717557</v>
      </c>
      <c r="E47" s="30" t="n">
        <f aca="false">E41/E42</f>
        <v>6.51735560996687</v>
      </c>
      <c r="F47" s="15" t="s">
        <v>276</v>
      </c>
    </row>
    <row r="48" customFormat="false" ht="18" hidden="false" customHeight="true" outlineLevel="0" collapsed="false">
      <c r="A48" s="9" t="s">
        <v>277</v>
      </c>
      <c r="B48" s="28" t="n">
        <f aca="false">B42*12/(Assumptions!$D$79/1000)</f>
        <v>232.131147540984</v>
      </c>
      <c r="C48" s="28" t="n">
        <f aca="false">C42*12/(Assumptions!$D$79/1000)</f>
        <v>243.934426229508</v>
      </c>
      <c r="D48" s="28" t="n">
        <f aca="false">D42*12/(Assumptions!$D$79/1000)</f>
        <v>257.704918032787</v>
      </c>
      <c r="E48" s="28" t="n">
        <f aca="false">E42*12/(Assumptions!$D$79/1000)</f>
        <v>273.167213114754</v>
      </c>
      <c r="F48" s="15" t="s">
        <v>278</v>
      </c>
    </row>
  </sheetData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4"/>
    <col collapsed="false" customWidth="true" hidden="false" outlineLevel="0" max="6" min="2" style="1" width="13"/>
    <col collapsed="false" customWidth="true" hidden="false" outlineLevel="0" max="7" min="7" style="1" width="18"/>
    <col collapsed="false" customWidth="true" hidden="false" outlineLevel="0" max="8" min="8" style="1" width="55"/>
    <col collapsed="false" customWidth="true" hidden="false" outlineLevel="0" max="11" min="9" style="1" width="14"/>
  </cols>
  <sheetData>
    <row r="1" customFormat="false" ht="24" hidden="false" customHeight="true" outlineLevel="0" collapsed="false">
      <c r="A1" s="2" t="s">
        <v>279</v>
      </c>
    </row>
    <row r="2" customFormat="false" ht="36" hidden="false" customHeight="true" outlineLevel="0" collapsed="false">
      <c r="A2" s="3" t="s">
        <v>280</v>
      </c>
    </row>
    <row r="3" customFormat="false" ht="18" hidden="false" customHeight="true" outlineLevel="0" collapsed="false">
      <c r="A3" s="38" t="s">
        <v>281</v>
      </c>
      <c r="B3" s="19" t="s">
        <v>137</v>
      </c>
      <c r="D3" s="8" t="s">
        <v>282</v>
      </c>
      <c r="E3" s="9" t="s">
        <v>283</v>
      </c>
      <c r="F3" s="9"/>
      <c r="G3" s="9"/>
      <c r="H3" s="9"/>
    </row>
    <row r="4" customFormat="false" ht="18" hidden="false" customHeight="true" outlineLevel="0" collapsed="false">
      <c r="A4" s="38" t="s">
        <v>284</v>
      </c>
      <c r="B4" s="19" t="s">
        <v>92</v>
      </c>
      <c r="D4" s="11"/>
      <c r="E4" s="9"/>
      <c r="F4" s="9"/>
      <c r="G4" s="9"/>
      <c r="H4" s="9"/>
    </row>
    <row r="5" customFormat="false" ht="18" hidden="false" customHeight="true" outlineLevel="0" collapsed="false"/>
    <row r="6" customFormat="false" ht="18" hidden="false" customHeight="true" outlineLevel="0" collapsed="false">
      <c r="A6" s="6" t="s">
        <v>213</v>
      </c>
      <c r="B6" s="7" t="s">
        <v>64</v>
      </c>
      <c r="C6" s="7" t="s">
        <v>65</v>
      </c>
      <c r="D6" s="7" t="s">
        <v>66</v>
      </c>
      <c r="E6" s="7" t="s">
        <v>67</v>
      </c>
      <c r="F6" s="7" t="s">
        <v>68</v>
      </c>
      <c r="G6" s="6" t="s">
        <v>285</v>
      </c>
    </row>
    <row r="7" customFormat="false" ht="18" hidden="false" customHeight="true" outlineLevel="0" collapsed="false"/>
    <row r="8" customFormat="false" ht="18" hidden="false" customHeight="true" outlineLevel="0" collapsed="false">
      <c r="A8" s="4" t="s">
        <v>286</v>
      </c>
      <c r="B8" s="5"/>
      <c r="C8" s="5"/>
      <c r="D8" s="5"/>
      <c r="E8" s="5"/>
      <c r="F8" s="5"/>
      <c r="G8" s="5"/>
    </row>
    <row r="9" customFormat="false" ht="18" hidden="false" customHeight="true" outlineLevel="0" collapsed="false">
      <c r="A9" s="9" t="s">
        <v>70</v>
      </c>
      <c r="B9" s="39" t="n">
        <f aca="false">Assumptions!H25</f>
        <v>5.31438282</v>
      </c>
      <c r="C9" s="39" t="n">
        <f aca="false">Assumptions!I25</f>
        <v>5.36221226538</v>
      </c>
      <c r="D9" s="39" t="n">
        <f aca="false">Assumptions!J25</f>
        <v>5.41047217576842</v>
      </c>
      <c r="E9" s="39" t="n">
        <f aca="false">Assumptions!K25</f>
        <v>5.45916642535033</v>
      </c>
      <c r="F9" s="39" t="n">
        <f aca="false">Assumptions!L25</f>
        <v>5.50829892317849</v>
      </c>
      <c r="G9" s="15" t="s">
        <v>287</v>
      </c>
    </row>
    <row r="10" customFormat="false" ht="18" hidden="false" customHeight="true" outlineLevel="0" collapsed="false">
      <c r="A10" s="9" t="s">
        <v>72</v>
      </c>
      <c r="B10" s="29" t="n">
        <f aca="false">Assumptions!H26</f>
        <v>230</v>
      </c>
      <c r="C10" s="29" t="n">
        <f aca="false">Assumptions!I26</f>
        <v>232</v>
      </c>
      <c r="D10" s="29" t="n">
        <f aca="false">Assumptions!J26</f>
        <v>233</v>
      </c>
      <c r="E10" s="29" t="n">
        <f aca="false">Assumptions!K26</f>
        <v>234</v>
      </c>
      <c r="F10" s="29" t="n">
        <f aca="false">Assumptions!L26</f>
        <v>235</v>
      </c>
      <c r="G10" s="15" t="s">
        <v>288</v>
      </c>
    </row>
    <row r="11" customFormat="false" ht="18" hidden="false" customHeight="true" outlineLevel="0" collapsed="false">
      <c r="A11" s="9" t="s">
        <v>218</v>
      </c>
      <c r="B11" s="30" t="n">
        <f aca="false">B9*B10/12</f>
        <v>101.85900405</v>
      </c>
      <c r="C11" s="30" t="n">
        <f aca="false">C9*C10/12</f>
        <v>103.66943713068</v>
      </c>
      <c r="D11" s="30" t="n">
        <f aca="false">D9*D10/12</f>
        <v>105.05333474617</v>
      </c>
      <c r="E11" s="30" t="n">
        <f aca="false">E9*E10/12</f>
        <v>106.453745294331</v>
      </c>
      <c r="F11" s="30" t="n">
        <f aca="false">F9*F10/12</f>
        <v>107.870853912245</v>
      </c>
      <c r="G11" s="15" t="s">
        <v>219</v>
      </c>
    </row>
    <row r="12" customFormat="false" ht="18" hidden="false" customHeight="true" outlineLevel="0" collapsed="false">
      <c r="A12" s="9" t="s">
        <v>289</v>
      </c>
      <c r="B12" s="31" t="n">
        <f aca="false">IF($B$4="Downside",Assumptions!H28,IF($B$4="Upside",Assumptions!H29,Assumptions!H27))</f>
        <v>0</v>
      </c>
      <c r="C12" s="31" t="n">
        <f aca="false">IF($B$4="Downside",Assumptions!I28,IF($B$4="Upside",Assumptions!I29,Assumptions!I27))</f>
        <v>0</v>
      </c>
      <c r="D12" s="31" t="n">
        <f aca="false">IF($B$4="Downside",Assumptions!J28,IF($B$4="Upside",Assumptions!J29,Assumptions!J27))</f>
        <v>0.005</v>
      </c>
      <c r="E12" s="31" t="n">
        <f aca="false">IF($B$4="Downside",Assumptions!K28,IF($B$4="Upside",Assumptions!K29,Assumptions!K27))</f>
        <v>0.008</v>
      </c>
      <c r="F12" s="31" t="n">
        <f aca="false">IF($B$4="Downside",Assumptions!L28,IF($B$4="Upside",Assumptions!L29,Assumptions!L27))</f>
        <v>0.01</v>
      </c>
      <c r="G12" s="15" t="s">
        <v>290</v>
      </c>
    </row>
    <row r="13" customFormat="false" ht="18" hidden="false" customHeight="true" outlineLevel="0" collapsed="false">
      <c r="A13" s="9" t="s">
        <v>291</v>
      </c>
      <c r="B13" s="33" t="n">
        <f aca="false">B11*(1-B12)</f>
        <v>101.85900405</v>
      </c>
      <c r="C13" s="33" t="n">
        <f aca="false">C11*(1-C12)</f>
        <v>103.66943713068</v>
      </c>
      <c r="D13" s="33" t="n">
        <f aca="false">D11*(1-D12)</f>
        <v>104.528068072439</v>
      </c>
      <c r="E13" s="33" t="n">
        <f aca="false">E11*(1-E12)</f>
        <v>105.602115331977</v>
      </c>
      <c r="F13" s="33" t="n">
        <f aca="false">F11*(1-F12)</f>
        <v>106.792145373123</v>
      </c>
      <c r="G13" s="15" t="s">
        <v>292</v>
      </c>
    </row>
    <row r="14" customFormat="false" ht="18" hidden="false" customHeight="true" outlineLevel="0" collapsed="false">
      <c r="A14" s="9" t="s">
        <v>293</v>
      </c>
      <c r="B14" s="31" t="n">
        <f aca="false">B13/'Historical Sizing'!E10-1</f>
        <v>0.013406113537118</v>
      </c>
      <c r="C14" s="34" t="n">
        <f aca="false">C13/B13-1</f>
        <v>0.0177739130434784</v>
      </c>
      <c r="D14" s="34" t="n">
        <f aca="false">D13/C13-1</f>
        <v>0.00828239224137906</v>
      </c>
      <c r="E14" s="34" t="n">
        <f aca="false">E13/D13-1</f>
        <v>0.0102752043479188</v>
      </c>
      <c r="F14" s="34" t="n">
        <f aca="false">F13/E13-1</f>
        <v>0.0112689981389589</v>
      </c>
      <c r="G14" s="15" t="s">
        <v>294</v>
      </c>
    </row>
    <row r="15" customFormat="false" ht="18" hidden="false" customHeight="true" outlineLevel="0" collapsed="false"/>
    <row r="16" customFormat="false" ht="18" hidden="false" customHeight="true" outlineLevel="0" collapsed="false"/>
    <row r="17" customFormat="false" ht="18" hidden="false" customHeight="true" outlineLevel="0" collapsed="false">
      <c r="A17" s="4" t="s">
        <v>295</v>
      </c>
      <c r="B17" s="5"/>
      <c r="C17" s="5"/>
      <c r="D17" s="5"/>
      <c r="E17" s="5"/>
      <c r="F17" s="5"/>
      <c r="G17" s="5"/>
    </row>
    <row r="18" customFormat="false" ht="18" hidden="false" customHeight="true" outlineLevel="0" collapsed="false">
      <c r="A18" s="9" t="s">
        <v>239</v>
      </c>
      <c r="B18" s="36" t="n">
        <f aca="false">B13*Assumptions!H30</f>
        <v>73.338482916</v>
      </c>
      <c r="C18" s="36" t="n">
        <f aca="false">C13*Assumptions!I30</f>
        <v>74.6419947340896</v>
      </c>
      <c r="D18" s="36" t="n">
        <f aca="false">D13*Assumptions!J30</f>
        <v>75.2602090121563</v>
      </c>
      <c r="E18" s="36" t="n">
        <f aca="false">E13*Assumptions!K30</f>
        <v>76.0335230390233</v>
      </c>
      <c r="F18" s="36" t="n">
        <f aca="false">F13*Assumptions!L30</f>
        <v>76.8903446686485</v>
      </c>
      <c r="G18" s="15" t="s">
        <v>296</v>
      </c>
    </row>
    <row r="19" customFormat="false" ht="18" hidden="false" customHeight="true" outlineLevel="0" collapsed="false">
      <c r="A19" s="9" t="s">
        <v>241</v>
      </c>
      <c r="B19" s="36" t="n">
        <f aca="false">B13*Assumptions!H31</f>
        <v>15.2788506075</v>
      </c>
      <c r="C19" s="36" t="n">
        <f aca="false">C13*Assumptions!I31</f>
        <v>15.550415569602</v>
      </c>
      <c r="D19" s="36" t="n">
        <f aca="false">D13*Assumptions!J31</f>
        <v>15.6792102108659</v>
      </c>
      <c r="E19" s="36" t="n">
        <f aca="false">E13*Assumptions!K31</f>
        <v>15.8403172997965</v>
      </c>
      <c r="F19" s="36" t="n">
        <f aca="false">F13*Assumptions!L31</f>
        <v>16.0188218059684</v>
      </c>
      <c r="G19" s="15" t="s">
        <v>297</v>
      </c>
    </row>
    <row r="20" customFormat="false" ht="18" hidden="false" customHeight="true" outlineLevel="0" collapsed="false">
      <c r="A20" s="9" t="s">
        <v>243</v>
      </c>
      <c r="B20" s="36" t="n">
        <f aca="false">B13*Assumptions!H32</f>
        <v>10.185900405</v>
      </c>
      <c r="C20" s="36" t="n">
        <f aca="false">C13*Assumptions!I32</f>
        <v>10.366943713068</v>
      </c>
      <c r="D20" s="36" t="n">
        <f aca="false">D13*Assumptions!J32</f>
        <v>10.4528068072439</v>
      </c>
      <c r="E20" s="36" t="n">
        <f aca="false">E13*Assumptions!K32</f>
        <v>10.5602115331977</v>
      </c>
      <c r="F20" s="36" t="n">
        <f aca="false">F13*Assumptions!L32</f>
        <v>10.6792145373123</v>
      </c>
      <c r="G20" s="15" t="s">
        <v>298</v>
      </c>
    </row>
    <row r="21" customFormat="false" ht="18" hidden="false" customHeight="true" outlineLevel="0" collapsed="false">
      <c r="A21" s="9" t="s">
        <v>299</v>
      </c>
      <c r="B21" s="36" t="n">
        <f aca="false">B13*Assumptions!H33</f>
        <v>3.0557701215</v>
      </c>
      <c r="C21" s="36" t="n">
        <f aca="false">C13*Assumptions!I33</f>
        <v>3.1100831139204</v>
      </c>
      <c r="D21" s="36" t="n">
        <f aca="false">D13*Assumptions!J33</f>
        <v>3.13584204217318</v>
      </c>
      <c r="E21" s="36" t="n">
        <f aca="false">E13*Assumptions!K33</f>
        <v>3.1680634599593</v>
      </c>
      <c r="F21" s="36" t="n">
        <f aca="false">F13*Assumptions!L33</f>
        <v>3.20376436119369</v>
      </c>
      <c r="G21" s="15" t="s">
        <v>300</v>
      </c>
    </row>
    <row r="22" customFormat="false" ht="18" hidden="false" customHeight="true" outlineLevel="0" collapsed="false">
      <c r="A22" s="9" t="s">
        <v>301</v>
      </c>
      <c r="B22" s="37" t="n">
        <f aca="false">SUM(B18:B21)</f>
        <v>101.85900405</v>
      </c>
      <c r="C22" s="37" t="n">
        <f aca="false">SUM(C18:C21)</f>
        <v>103.66943713068</v>
      </c>
      <c r="D22" s="37" t="n">
        <f aca="false">SUM(D18:D21)</f>
        <v>104.528068072439</v>
      </c>
      <c r="E22" s="37" t="n">
        <f aca="false">SUM(E18:E21)</f>
        <v>105.602115331977</v>
      </c>
      <c r="F22" s="37" t="n">
        <f aca="false">SUM(F18:F21)</f>
        <v>106.792145373123</v>
      </c>
      <c r="G22" s="15" t="s">
        <v>302</v>
      </c>
    </row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>
      <c r="A25" s="4" t="s">
        <v>303</v>
      </c>
      <c r="B25" s="5"/>
      <c r="C25" s="5"/>
      <c r="D25" s="5"/>
      <c r="E25" s="5"/>
      <c r="F25" s="5"/>
      <c r="G25" s="5"/>
    </row>
    <row r="26" customFormat="false" ht="18" hidden="false" customHeight="true" outlineLevel="0" collapsed="false">
      <c r="A26" s="9" t="s">
        <v>84</v>
      </c>
      <c r="B26" s="40" t="n">
        <f aca="false">SUMIFS('Transition Scenarios'!$C$6:$C$29,'Transition Scenarios'!$A$6:$A$29,$B$3,'Transition Scenarios'!$B$6:$B$29,$A26)</f>
        <v>0.4</v>
      </c>
      <c r="C26" s="40" t="n">
        <f aca="false">SUMIFS('Transition Scenarios'!$D$6:$D$29,'Transition Scenarios'!$A$6:$A$29,$B$3,'Transition Scenarios'!$B$6:$B$29,$A26)</f>
        <v>0.18</v>
      </c>
      <c r="D26" s="40" t="n">
        <f aca="false">SUMIFS('Transition Scenarios'!$E$6:$E$29,'Transition Scenarios'!$A$6:$A$29,$B$3,'Transition Scenarios'!$B$6:$B$29,$A26)</f>
        <v>0</v>
      </c>
      <c r="E26" s="40" t="n">
        <f aca="false">SUMIFS('Transition Scenarios'!$F$6:$F$29,'Transition Scenarios'!$A$6:$A$29,$B$3,'Transition Scenarios'!$B$6:$B$29,$A26)</f>
        <v>0</v>
      </c>
      <c r="F26" s="40" t="n">
        <f aca="false">SUMIFS('Transition Scenarios'!$G$6:$G$29,'Transition Scenarios'!$A$6:$A$29,$B$3,'Transition Scenarios'!$B$6:$B$29,$A26)</f>
        <v>0</v>
      </c>
      <c r="G26" s="15" t="s">
        <v>304</v>
      </c>
    </row>
    <row r="27" customFormat="false" ht="18" hidden="false" customHeight="true" outlineLevel="0" collapsed="false">
      <c r="A27" s="9" t="s">
        <v>86</v>
      </c>
      <c r="B27" s="40" t="n">
        <f aca="false">SUMIFS('Transition Scenarios'!$C$6:$C$29,'Transition Scenarios'!$A$6:$A$29,$B$3,'Transition Scenarios'!$B$6:$B$29,$A27)</f>
        <v>0.2</v>
      </c>
      <c r="C27" s="40" t="n">
        <f aca="false">SUMIFS('Transition Scenarios'!$D$6:$D$29,'Transition Scenarios'!$A$6:$A$29,$B$3,'Transition Scenarios'!$B$6:$B$29,$A27)</f>
        <v>0.41</v>
      </c>
      <c r="D27" s="40" t="n">
        <f aca="false">SUMIFS('Transition Scenarios'!$E$6:$E$29,'Transition Scenarios'!$A$6:$A$29,$B$3,'Transition Scenarios'!$B$6:$B$29,$A27)</f>
        <v>0.57</v>
      </c>
      <c r="E27" s="40" t="n">
        <f aca="false">SUMIFS('Transition Scenarios'!$F$6:$F$29,'Transition Scenarios'!$A$6:$A$29,$B$3,'Transition Scenarios'!$B$6:$B$29,$A27)</f>
        <v>0.56</v>
      </c>
      <c r="F27" s="40" t="n">
        <f aca="false">SUMIFS('Transition Scenarios'!$G$6:$G$29,'Transition Scenarios'!$A$6:$A$29,$B$3,'Transition Scenarios'!$B$6:$B$29,$A27)</f>
        <v>0.55</v>
      </c>
      <c r="G27" s="15" t="s">
        <v>305</v>
      </c>
    </row>
    <row r="28" customFormat="false" ht="18" hidden="false" customHeight="true" outlineLevel="0" collapsed="false">
      <c r="A28" s="9" t="s">
        <v>306</v>
      </c>
      <c r="B28" s="40" t="n">
        <f aca="false">SUMIFS('Transition Scenarios'!$C$6:$C$29,'Transition Scenarios'!$A$6:$A$29,$B$3,'Transition Scenarios'!$B$6:$B$29,$A28)</f>
        <v>0.36</v>
      </c>
      <c r="C28" s="40" t="n">
        <f aca="false">SUMIFS('Transition Scenarios'!$D$6:$D$29,'Transition Scenarios'!$A$6:$A$29,$B$3,'Transition Scenarios'!$B$6:$B$29,$A28)</f>
        <v>0.37</v>
      </c>
      <c r="D28" s="40" t="n">
        <f aca="false">SUMIFS('Transition Scenarios'!$E$6:$E$29,'Transition Scenarios'!$A$6:$A$29,$B$3,'Transition Scenarios'!$B$6:$B$29,$A28)</f>
        <v>0.39</v>
      </c>
      <c r="E28" s="40" t="n">
        <f aca="false">SUMIFS('Transition Scenarios'!$F$6:$F$29,'Transition Scenarios'!$A$6:$A$29,$B$3,'Transition Scenarios'!$B$6:$B$29,$A28)</f>
        <v>0.4</v>
      </c>
      <c r="F28" s="40" t="n">
        <f aca="false">SUMIFS('Transition Scenarios'!$G$6:$G$29,'Transition Scenarios'!$A$6:$A$29,$B$3,'Transition Scenarios'!$B$6:$B$29,$A28)</f>
        <v>0.41</v>
      </c>
      <c r="G28" s="15" t="s">
        <v>307</v>
      </c>
    </row>
    <row r="29" customFormat="false" ht="18" hidden="false" customHeight="true" outlineLevel="0" collapsed="false">
      <c r="A29" s="9" t="s">
        <v>88</v>
      </c>
      <c r="B29" s="40" t="n">
        <f aca="false">SUMIFS('Transition Scenarios'!$C$6:$C$29,'Transition Scenarios'!$A$6:$A$29,$B$3,'Transition Scenarios'!$B$6:$B$29,$A29)</f>
        <v>0.04</v>
      </c>
      <c r="C29" s="40" t="n">
        <f aca="false">SUMIFS('Transition Scenarios'!$D$6:$D$29,'Transition Scenarios'!$A$6:$A$29,$B$3,'Transition Scenarios'!$B$6:$B$29,$A29)</f>
        <v>0.04</v>
      </c>
      <c r="D29" s="40" t="n">
        <f aca="false">SUMIFS('Transition Scenarios'!$E$6:$E$29,'Transition Scenarios'!$A$6:$A$29,$B$3,'Transition Scenarios'!$B$6:$B$29,$A29)</f>
        <v>0.04</v>
      </c>
      <c r="E29" s="40" t="n">
        <f aca="false">SUMIFS('Transition Scenarios'!$F$6:$F$29,'Transition Scenarios'!$A$6:$A$29,$B$3,'Transition Scenarios'!$B$6:$B$29,$A29)</f>
        <v>0.04</v>
      </c>
      <c r="F29" s="40" t="n">
        <f aca="false">SUMIFS('Transition Scenarios'!$G$6:$G$29,'Transition Scenarios'!$A$6:$A$29,$B$3,'Transition Scenarios'!$B$6:$B$29,$A29)</f>
        <v>0.04</v>
      </c>
      <c r="G29" s="15" t="s">
        <v>308</v>
      </c>
    </row>
    <row r="30" customFormat="false" ht="18" hidden="false" customHeight="true" outlineLevel="0" collapsed="false">
      <c r="A30" s="9" t="s">
        <v>309</v>
      </c>
      <c r="B30" s="41" t="n">
        <f aca="false">SUM(B26:B29)</f>
        <v>1</v>
      </c>
      <c r="C30" s="41" t="n">
        <f aca="false">SUM(C26:C29)</f>
        <v>1</v>
      </c>
      <c r="D30" s="41" t="n">
        <f aca="false">SUM(D26:D29)</f>
        <v>1</v>
      </c>
      <c r="E30" s="41" t="n">
        <f aca="false">SUM(E26:E29)</f>
        <v>1</v>
      </c>
      <c r="F30" s="41" t="n">
        <f aca="false">SUM(F26:F29)</f>
        <v>1</v>
      </c>
      <c r="G30" s="15" t="s">
        <v>310</v>
      </c>
    </row>
    <row r="31" customFormat="false" ht="18" hidden="false" customHeight="true" outlineLevel="0" collapsed="false">
      <c r="A31" s="9" t="s">
        <v>311</v>
      </c>
      <c r="B31" s="40" t="n">
        <f aca="false">SUMIFS('Transition Scenarios'!$C$6:$C$29,'Transition Scenarios'!$A$6:$A$29,$B$3,'Transition Scenarios'!$B$6:$B$29,$A31)</f>
        <v>0</v>
      </c>
      <c r="C31" s="40" t="n">
        <f aca="false">SUMIFS('Transition Scenarios'!$D$6:$D$29,'Transition Scenarios'!$A$6:$A$29,$B$3,'Transition Scenarios'!$B$6:$B$29,$A31)</f>
        <v>0</v>
      </c>
      <c r="D31" s="40" t="n">
        <f aca="false">SUMIFS('Transition Scenarios'!$E$6:$E$29,'Transition Scenarios'!$A$6:$A$29,$B$3,'Transition Scenarios'!$B$6:$B$29,$A31)</f>
        <v>0</v>
      </c>
      <c r="E31" s="40" t="n">
        <f aca="false">SUMIFS('Transition Scenarios'!$F$6:$F$29,'Transition Scenarios'!$A$6:$A$29,$B$3,'Transition Scenarios'!$B$6:$B$29,$A31)</f>
        <v>0</v>
      </c>
      <c r="F31" s="40" t="n">
        <f aca="false">SUMIFS('Transition Scenarios'!$G$6:$G$29,'Transition Scenarios'!$A$6:$A$29,$B$3,'Transition Scenarios'!$B$6:$B$29,$A31)</f>
        <v>0</v>
      </c>
      <c r="G31" s="15" t="s">
        <v>312</v>
      </c>
    </row>
    <row r="32" customFormat="false" ht="18" hidden="false" customHeight="true" outlineLevel="0" collapsed="false">
      <c r="A32" s="9" t="s">
        <v>313</v>
      </c>
      <c r="B32" s="40" t="n">
        <f aca="false">SUMIFS('Transition Scenarios'!$C$6:$C$29,'Transition Scenarios'!$A$6:$A$29,$B$3,'Transition Scenarios'!$B$6:$B$29,$A32)</f>
        <v>0.18</v>
      </c>
      <c r="C32" s="40" t="n">
        <f aca="false">SUMIFS('Transition Scenarios'!$D$6:$D$29,'Transition Scenarios'!$A$6:$A$29,$B$3,'Transition Scenarios'!$B$6:$B$29,$A32)</f>
        <v>0.14</v>
      </c>
      <c r="D32" s="40" t="n">
        <f aca="false">SUMIFS('Transition Scenarios'!$E$6:$E$29,'Transition Scenarios'!$A$6:$A$29,$B$3,'Transition Scenarios'!$B$6:$B$29,$A32)</f>
        <v>0.12</v>
      </c>
      <c r="E32" s="40" t="n">
        <f aca="false">SUMIFS('Transition Scenarios'!$F$6:$F$29,'Transition Scenarios'!$A$6:$A$29,$B$3,'Transition Scenarios'!$B$6:$B$29,$A32)</f>
        <v>0.12</v>
      </c>
      <c r="F32" s="40" t="n">
        <f aca="false">SUMIFS('Transition Scenarios'!$G$6:$G$29,'Transition Scenarios'!$A$6:$A$29,$B$3,'Transition Scenarios'!$B$6:$B$29,$A32)</f>
        <v>0.12</v>
      </c>
      <c r="G32" s="15" t="s">
        <v>314</v>
      </c>
    </row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>
      <c r="A35" s="4" t="s">
        <v>315</v>
      </c>
      <c r="B35" s="5"/>
      <c r="C35" s="5"/>
      <c r="D35" s="5"/>
      <c r="E35" s="5"/>
      <c r="F35" s="5"/>
      <c r="G35" s="5"/>
    </row>
    <row r="36" customFormat="false" ht="18" hidden="false" customHeight="true" outlineLevel="0" collapsed="false">
      <c r="A36" s="9" t="s">
        <v>316</v>
      </c>
      <c r="B36" s="32" t="n">
        <f aca="false">Assumptions!$D$46*(1+Assumptions!$D$57)^0</f>
        <v>5.6</v>
      </c>
      <c r="C36" s="32" t="n">
        <f aca="false">Assumptions!$D$46*(1+Assumptions!$D$57)^1</f>
        <v>5.7512</v>
      </c>
      <c r="D36" s="32" t="n">
        <f aca="false">Assumptions!$D$46*(1+Assumptions!$D$57)^2</f>
        <v>5.9064824</v>
      </c>
      <c r="E36" s="32" t="n">
        <f aca="false">Assumptions!$D$46*(1+Assumptions!$D$57)^3</f>
        <v>6.0659574248</v>
      </c>
      <c r="F36" s="32" t="n">
        <f aca="false">Assumptions!$D$46*(1+Assumptions!$D$57)^4</f>
        <v>6.2297382752696</v>
      </c>
      <c r="G36" s="15" t="s">
        <v>317</v>
      </c>
    </row>
    <row r="37" customFormat="false" ht="18" hidden="false" customHeight="true" outlineLevel="0" collapsed="false">
      <c r="A37" s="9" t="s">
        <v>318</v>
      </c>
      <c r="B37" s="32" t="n">
        <f aca="false">Assumptions!$D$47*(1+Assumptions!$D$57)^0</f>
        <v>7</v>
      </c>
      <c r="C37" s="32" t="n">
        <f aca="false">Assumptions!$D$47*(1+Assumptions!$D$57)^1</f>
        <v>7.189</v>
      </c>
      <c r="D37" s="32" t="n">
        <f aca="false">Assumptions!$D$47*(1+Assumptions!$D$57)^2</f>
        <v>7.383103</v>
      </c>
      <c r="E37" s="32" t="n">
        <f aca="false">Assumptions!$D$47*(1+Assumptions!$D$57)^3</f>
        <v>7.582446781</v>
      </c>
      <c r="F37" s="32" t="n">
        <f aca="false">Assumptions!$D$47*(1+Assumptions!$D$57)^4</f>
        <v>7.787172844087</v>
      </c>
      <c r="G37" s="15" t="s">
        <v>319</v>
      </c>
    </row>
    <row r="38" customFormat="false" ht="18" hidden="false" customHeight="true" outlineLevel="0" collapsed="false">
      <c r="A38" s="9" t="s">
        <v>320</v>
      </c>
      <c r="B38" s="42" t="n">
        <f aca="false">B37*(1+B32)</f>
        <v>8.26</v>
      </c>
      <c r="C38" s="42" t="n">
        <f aca="false">C37*(1+C32)</f>
        <v>8.19546</v>
      </c>
      <c r="D38" s="42" t="n">
        <f aca="false">D37*(1+D32)</f>
        <v>8.26907536</v>
      </c>
      <c r="E38" s="42" t="n">
        <f aca="false">E37*(1+E32)</f>
        <v>8.49234039472</v>
      </c>
      <c r="F38" s="42" t="n">
        <f aca="false">F37*(1+F32)</f>
        <v>8.72163358537744</v>
      </c>
      <c r="G38" s="15" t="s">
        <v>321</v>
      </c>
    </row>
    <row r="39" customFormat="false" ht="18" hidden="false" customHeight="true" outlineLevel="0" collapsed="false">
      <c r="A39" s="9" t="s">
        <v>322</v>
      </c>
      <c r="B39" s="32" t="n">
        <f aca="false">Assumptions!$D$48*(1+Assumptions!$D$57)^0</f>
        <v>14</v>
      </c>
      <c r="C39" s="32" t="n">
        <f aca="false">Assumptions!$D$48*(1+Assumptions!$D$57)^1</f>
        <v>14.378</v>
      </c>
      <c r="D39" s="32" t="n">
        <f aca="false">Assumptions!$D$48*(1+Assumptions!$D$57)^2</f>
        <v>14.766206</v>
      </c>
      <c r="E39" s="32" t="n">
        <f aca="false">Assumptions!$D$48*(1+Assumptions!$D$57)^3</f>
        <v>15.164893562</v>
      </c>
      <c r="F39" s="32" t="n">
        <f aca="false">Assumptions!$D$48*(1+Assumptions!$D$57)^4</f>
        <v>15.574345688174</v>
      </c>
      <c r="G39" s="15" t="s">
        <v>323</v>
      </c>
    </row>
    <row r="40" customFormat="false" ht="18" hidden="false" customHeight="true" outlineLevel="0" collapsed="false">
      <c r="A40" s="9" t="s">
        <v>324</v>
      </c>
      <c r="B40" s="42" t="n">
        <f aca="false">SUMPRODUCT(B26:B29,B36:B39)</f>
        <v>7.1736</v>
      </c>
      <c r="C40" s="42" t="n">
        <f aca="false">SUMPRODUCT(C26:C29,C36:C39)</f>
        <v>7.5901462</v>
      </c>
      <c r="D40" s="42" t="n">
        <f aca="false">SUMPRODUCT(D26:D29,D36:D39)</f>
        <v>8.0239563404</v>
      </c>
      <c r="E40" s="42" t="n">
        <f aca="false">SUMPRODUCT(E26:E29,E36:E39)</f>
        <v>8.249702097728</v>
      </c>
      <c r="F40" s="42" t="n">
        <f aca="false">SUMPRODUCT(F26:F29,F36:F39)</f>
        <v>8.48178866177956</v>
      </c>
      <c r="G40" s="15" t="s">
        <v>325</v>
      </c>
    </row>
    <row r="41" customFormat="false" ht="18" hidden="false" customHeight="true" outlineLevel="0" collapsed="false">
      <c r="A41" s="9" t="s">
        <v>326</v>
      </c>
      <c r="B41" s="30" t="n">
        <f aca="false">B18*B40</f>
        <v>526.100941046218</v>
      </c>
      <c r="C41" s="30" t="n">
        <f aca="false">C18*C40</f>
        <v>566.54365269137</v>
      </c>
      <c r="D41" s="30" t="n">
        <f aca="false">D18*D40</f>
        <v>603.884631282921</v>
      </c>
      <c r="E41" s="30" t="n">
        <f aca="false">E18*E40</f>
        <v>627.253914512681</v>
      </c>
      <c r="F41" s="30" t="n">
        <f aca="false">F18*F40</f>
        <v>652.167653610865</v>
      </c>
      <c r="G41" s="15" t="s">
        <v>327</v>
      </c>
    </row>
    <row r="42" customFormat="false" ht="18" hidden="false" customHeight="true" outlineLevel="0" collapsed="false">
      <c r="A42" s="9" t="s">
        <v>328</v>
      </c>
      <c r="B42" s="32" t="n">
        <f aca="false">B26*(Assumptions!$D$49*(1+Assumptions!$D$57)^0)+B27*(Assumptions!$D$50*(1+Assumptions!$D$57)^0)+B28*((Assumptions!$D$50*(1+Assumptions!$D$57)^0)*(1+B32*0.8))+B29*(8.5*(1+Assumptions!$D$57)^0)</f>
        <v>4.674464</v>
      </c>
      <c r="C42" s="32" t="n">
        <f aca="false">C26*(Assumptions!$D$49*(1+Assumptions!$D$57)^1)+C27*(Assumptions!$D$50*(1+Assumptions!$D$57)^1)+C28*((Assumptions!$D$50*(1+Assumptions!$D$57)^1)*(1+C32*0.8))+C29*(8.5*(1+Assumptions!$D$57)^1)</f>
        <v>4.932294848</v>
      </c>
      <c r="D42" s="32" t="n">
        <f aca="false">D26*(Assumptions!$D$49*(1+Assumptions!$D$57)^2)+D27*(Assumptions!$D$50*(1+Assumptions!$D$57)^2)+D28*((Assumptions!$D$50*(1+Assumptions!$D$57)^2)*(1+D32*0.8))+D29*(8.5*(1+Assumptions!$D$57)^2)</f>
        <v>5.197940771296</v>
      </c>
      <c r="E42" s="32" t="n">
        <f aca="false">E26*(Assumptions!$D$49*(1+Assumptions!$D$57)^3)+E27*(Assumptions!$D$50*(1+Assumptions!$D$57)^3)+E28*((Assumptions!$D$50*(1+Assumptions!$D$57)^3)*(1+E32*0.8))+E29*(8.5*(1+Assumptions!$D$57)^3)</f>
        <v>5.34306861283312</v>
      </c>
      <c r="F42" s="32" t="n">
        <f aca="false">F26*(Assumptions!$D$49*(1+Assumptions!$D$57)^4)+F27*(Assumptions!$D$50*(1+Assumptions!$D$57)^4)+F28*((Assumptions!$D$50*(1+Assumptions!$D$57)^4)*(1+F32*0.8))+F29*(8.5*(1+Assumptions!$D$57)^4)</f>
        <v>5.49224405899097</v>
      </c>
      <c r="G42" s="15" t="s">
        <v>329</v>
      </c>
    </row>
    <row r="43" customFormat="false" ht="18" hidden="false" customHeight="true" outlineLevel="0" collapsed="false">
      <c r="A43" s="9" t="s">
        <v>330</v>
      </c>
      <c r="B43" s="30" t="n">
        <f aca="false">B19*B42</f>
        <v>71.4204371261369</v>
      </c>
      <c r="C43" s="30" t="n">
        <f aca="false">C19*C42</f>
        <v>76.6992345982069</v>
      </c>
      <c r="D43" s="30" t="n">
        <f aca="false">D19*D42</f>
        <v>81.4996060167804</v>
      </c>
      <c r="E43" s="30" t="n">
        <f aca="false">E19*E42</f>
        <v>84.6359021818602</v>
      </c>
      <c r="F43" s="30" t="n">
        <f aca="false">F19*F42</f>
        <v>87.9792788958651</v>
      </c>
      <c r="G43" s="15" t="s">
        <v>331</v>
      </c>
    </row>
    <row r="44" customFormat="false" ht="18" hidden="false" customHeight="true" outlineLevel="0" collapsed="false">
      <c r="A44" s="9" t="s">
        <v>332</v>
      </c>
      <c r="B44" s="32" t="n">
        <f aca="false">B26*(Assumptions!$D$51*(1+Assumptions!$D$57)^0)+B27*(Assumptions!$D$52*(1+Assumptions!$D$57)^0)+B28*((Assumptions!$D$52*(1+Assumptions!$D$57)^0)*(1+B32*0.3))+B29*(4*(1+Assumptions!$D$57)^0)</f>
        <v>3.605984</v>
      </c>
      <c r="C44" s="32" t="n">
        <f aca="false">C26*(Assumptions!$D$51*(1+Assumptions!$D$57)^1)+C27*(Assumptions!$D$52*(1+Assumptions!$D$57)^1)+C28*((Assumptions!$D$52*(1+Assumptions!$D$57)^1)*(1+C32*0.3))+C29*(4*(1+Assumptions!$D$57)^1)</f>
        <v>3.734114488</v>
      </c>
      <c r="D44" s="32" t="n">
        <f aca="false">D26*(Assumptions!$D$51*(1+Assumptions!$D$57)^2)+D27*(Assumptions!$D$52*(1+Assumptions!$D$57)^2)+D28*((Assumptions!$D$52*(1+Assumptions!$D$57)^2)*(1+D32*0.3))+D29*(4*(1+Assumptions!$D$57)^2)</f>
        <v>3.867210286576</v>
      </c>
      <c r="E44" s="32" t="n">
        <f aca="false">E26*(Assumptions!$D$51*(1+Assumptions!$D$57)^3)+E27*(Assumptions!$D$52*(1+Assumptions!$D$57)^3)+E28*((Assumptions!$D$52*(1+Assumptions!$D$57)^3)*(1+E32*0.3))+E29*(4*(1+Assumptions!$D$57)^3)</f>
        <v>3.97302880017472</v>
      </c>
      <c r="F44" s="32" t="n">
        <f aca="false">F26*(Assumptions!$D$51*(1+Assumptions!$D$57)^4)+F27*(Assumptions!$D$52*(1+Assumptions!$D$57)^4)+F28*((Assumptions!$D$52*(1+Assumptions!$D$57)^4)*(1+F32*0.3))+F29*(4*(1+Assumptions!$D$57)^4)</f>
        <v>4.08174231720886</v>
      </c>
      <c r="G44" s="15" t="s">
        <v>333</v>
      </c>
    </row>
    <row r="45" customFormat="false" ht="18" hidden="false" customHeight="true" outlineLevel="0" collapsed="false">
      <c r="A45" s="9" t="s">
        <v>334</v>
      </c>
      <c r="B45" s="30" t="n">
        <f aca="false">B20*B44</f>
        <v>36.7301938860235</v>
      </c>
      <c r="C45" s="30" t="n">
        <f aca="false">C20*C44</f>
        <v>38.7113547152477</v>
      </c>
      <c r="D45" s="30" t="n">
        <f aca="false">D20*D44</f>
        <v>40.4232020085654</v>
      </c>
      <c r="E45" s="30" t="n">
        <f aca="false">E20*E44</f>
        <v>41.9560245573316</v>
      </c>
      <c r="F45" s="30" t="n">
        <f aca="false">F20*F44</f>
        <v>43.5898018914996</v>
      </c>
      <c r="G45" s="15" t="s">
        <v>335</v>
      </c>
    </row>
    <row r="46" customFormat="false" ht="18" hidden="false" customHeight="true" outlineLevel="0" collapsed="false">
      <c r="A46" s="9" t="s">
        <v>336</v>
      </c>
      <c r="B46" s="32" t="n">
        <f aca="false">B26*(Assumptions!$D$53*(1+Assumptions!$D$57)^0)+B27*(Assumptions!$D$54*(1+Assumptions!$D$57)^0)+B28*(Assumptions!$D$55*(1+Assumptions!$D$57)^0)+B29*(Assumptions!$D$56*(1+Assumptions!$D$57)^0)</f>
        <v>7.92</v>
      </c>
      <c r="C46" s="32" t="n">
        <f aca="false">C26*(Assumptions!$D$53*(1+Assumptions!$D$57)^1)+C27*(Assumptions!$D$54*(1+Assumptions!$D$57)^1)+C28*(Assumptions!$D$55*(1+Assumptions!$D$57)^1)+C29*(Assumptions!$D$56*(1+Assumptions!$D$57)^1)</f>
        <v>8.49329</v>
      </c>
      <c r="D46" s="32" t="n">
        <f aca="false">D26*(Assumptions!$D$53*(1+Assumptions!$D$57)^2)+D27*(Assumptions!$D$54*(1+Assumptions!$D$57)^2)+D28*(Assumptions!$D$55*(1+Assumptions!$D$57)^2)+D29*(Assumptions!$D$56*(1+Assumptions!$D$57)^2)</f>
        <v>9.04957482</v>
      </c>
      <c r="E46" s="32" t="n">
        <f aca="false">E26*(Assumptions!$D$53*(1+Assumptions!$D$57)^3)+E27*(Assumptions!$D$54*(1+Assumptions!$D$57)^3)+E28*(Assumptions!$D$55*(1+Assumptions!$D$57)^3)+E29*(Assumptions!$D$56*(1+Assumptions!$D$57)^3)</f>
        <v>9.3155774738</v>
      </c>
      <c r="F46" s="32" t="n">
        <f aca="false">F26*(Assumptions!$D$53*(1+Assumptions!$D$57)^4)+F27*(Assumptions!$D$54*(1+Assumptions!$D$57)^4)+F28*(Assumptions!$D$55*(1+Assumptions!$D$57)^4)+F29*(Assumptions!$D$56*(1+Assumptions!$D$57)^4)</f>
        <v>9.58934713086142</v>
      </c>
      <c r="G46" s="15" t="s">
        <v>337</v>
      </c>
    </row>
    <row r="47" customFormat="false" ht="18" hidden="false" customHeight="true" outlineLevel="0" collapsed="false">
      <c r="A47" s="9" t="s">
        <v>338</v>
      </c>
      <c r="B47" s="30" t="n">
        <f aca="false">B21*B46</f>
        <v>24.20169936228</v>
      </c>
      <c r="C47" s="30" t="n">
        <f aca="false">C21*C46</f>
        <v>26.414837810629</v>
      </c>
      <c r="D47" s="30" t="n">
        <f aca="false">D21*D46</f>
        <v>28.3780371843478</v>
      </c>
      <c r="E47" s="30" t="n">
        <f aca="false">E21*E46</f>
        <v>29.5123406031658</v>
      </c>
      <c r="F47" s="30" t="n">
        <f aca="false">F21*F46</f>
        <v>30.7220085849688</v>
      </c>
      <c r="G47" s="15" t="s">
        <v>339</v>
      </c>
    </row>
    <row r="48" customFormat="false" ht="18" hidden="false" customHeight="true" outlineLevel="0" collapsed="false">
      <c r="A48" s="9" t="s">
        <v>340</v>
      </c>
      <c r="B48" s="30" t="n">
        <f aca="false">SUM(B41,B43,B45,B47)</f>
        <v>658.453271420658</v>
      </c>
      <c r="C48" s="30" t="n">
        <f aca="false">SUM(C41,C43,C45,C47)</f>
        <v>708.369079815454</v>
      </c>
      <c r="D48" s="30" t="n">
        <f aca="false">SUM(D41,D43,D45,D47)</f>
        <v>754.185476492614</v>
      </c>
      <c r="E48" s="30" t="n">
        <f aca="false">SUM(E41,E43,E45,E47)</f>
        <v>783.358181855038</v>
      </c>
      <c r="F48" s="30" t="n">
        <f aca="false">SUM(F41,F43,F45,F47)</f>
        <v>814.458742983199</v>
      </c>
      <c r="G48" s="15" t="s">
        <v>341</v>
      </c>
    </row>
    <row r="49" customFormat="false" ht="18" hidden="false" customHeight="true" outlineLevel="0" collapsed="false">
      <c r="A49" s="9" t="s">
        <v>342</v>
      </c>
      <c r="B49" s="28" t="n">
        <f aca="false">B13*B31*Assumptions!H30*MAX(0,B36-(Assumptions!$D$51*(1+Assumptions!$D$57)^0))</f>
        <v>0</v>
      </c>
      <c r="C49" s="28" t="n">
        <f aca="false">C13*C31*Assumptions!I30*MAX(0,C36-(Assumptions!$D$51*(1+Assumptions!$D$57)^1))</f>
        <v>0</v>
      </c>
      <c r="D49" s="43" t="n">
        <f aca="false">D13*D31*Assumptions!J30*MAX(0,D36-(Assumptions!$D$51*(1+Assumptions!$D$57)^2))</f>
        <v>0</v>
      </c>
      <c r="E49" s="43" t="n">
        <f aca="false">E13*E31*Assumptions!K30*MAX(0,E36-(Assumptions!$D$51*(1+Assumptions!$D$57)^3))</f>
        <v>0</v>
      </c>
      <c r="F49" s="28" t="n">
        <f aca="false">F13*F31*Assumptions!L30*MAX(0,F36-(Assumptions!$D$51*(1+Assumptions!$D$57)^4))</f>
        <v>0</v>
      </c>
      <c r="G49" s="15" t="s">
        <v>343</v>
      </c>
    </row>
    <row r="50" customFormat="false" ht="18" hidden="false" customHeight="true" outlineLevel="0" collapsed="false">
      <c r="A50" s="9" t="s">
        <v>344</v>
      </c>
      <c r="B50" s="30" t="n">
        <f aca="false">B48-B49</f>
        <v>658.453271420658</v>
      </c>
      <c r="C50" s="30" t="n">
        <f aca="false">C48-C49</f>
        <v>708.369079815454</v>
      </c>
      <c r="D50" s="30" t="n">
        <f aca="false">D48-D49</f>
        <v>754.185476492614</v>
      </c>
      <c r="E50" s="30" t="n">
        <f aca="false">E48-E49</f>
        <v>783.358181855038</v>
      </c>
      <c r="F50" s="30" t="n">
        <f aca="false">F48-F49</f>
        <v>814.458742983199</v>
      </c>
      <c r="G50" s="15" t="s">
        <v>345</v>
      </c>
    </row>
    <row r="51" customFormat="false" ht="18" hidden="false" customHeight="true" outlineLevel="0" collapsed="false">
      <c r="A51" s="9" t="s">
        <v>346</v>
      </c>
      <c r="B51" s="39" t="n">
        <f aca="false">Assumptions!$D$58/B50</f>
        <v>0.820103754416639</v>
      </c>
      <c r="C51" s="44" t="n">
        <f aca="false">$B$51</f>
        <v>0.820103754416639</v>
      </c>
      <c r="D51" s="44" t="n">
        <f aca="false">$B$51</f>
        <v>0.820103754416639</v>
      </c>
      <c r="E51" s="44" t="n">
        <f aca="false">$B$51</f>
        <v>0.820103754416639</v>
      </c>
      <c r="F51" s="44" t="n">
        <f aca="false">$B$51</f>
        <v>0.820103754416639</v>
      </c>
      <c r="G51" s="15" t="s">
        <v>347</v>
      </c>
    </row>
    <row r="52" customFormat="false" ht="18" hidden="false" customHeight="true" outlineLevel="0" collapsed="false">
      <c r="A52" s="9" t="s">
        <v>348</v>
      </c>
      <c r="B52" s="33" t="n">
        <f aca="false">B50*B51</f>
        <v>540</v>
      </c>
      <c r="C52" s="33" t="n">
        <f aca="false">C50*C51</f>
        <v>580.936141869314</v>
      </c>
      <c r="D52" s="33" t="n">
        <f aca="false">D50*D51</f>
        <v>618.510340798095</v>
      </c>
      <c r="E52" s="33" t="n">
        <f aca="false">E50*E51</f>
        <v>642.434985992309</v>
      </c>
      <c r="F52" s="33" t="n">
        <f aca="false">F50*F51</f>
        <v>667.940672937978</v>
      </c>
      <c r="G52" s="15" t="s">
        <v>349</v>
      </c>
    </row>
    <row r="53" customFormat="false" ht="18" hidden="false" customHeight="true" outlineLevel="0" collapsed="false">
      <c r="A53" s="9" t="s">
        <v>350</v>
      </c>
      <c r="B53" s="31" t="n">
        <f aca="false">B52/'Historical Sizing'!E17-1</f>
        <v>-0.0641126141654924</v>
      </c>
      <c r="C53" s="34" t="n">
        <f aca="false">C52/B52-1</f>
        <v>0.0758076701283588</v>
      </c>
      <c r="D53" s="34" t="n">
        <f aca="false">D52/C52-1</f>
        <v>0.0646787077283169</v>
      </c>
      <c r="E53" s="34" t="n">
        <f aca="false">E52/D52-1</f>
        <v>0.0386810755069076</v>
      </c>
      <c r="F53" s="34" t="n">
        <f aca="false">F52/E52-1</f>
        <v>0.0397015845989028</v>
      </c>
      <c r="G53" s="15" t="s">
        <v>351</v>
      </c>
    </row>
    <row r="54" customFormat="false" ht="18" hidden="false" customHeight="true" outlineLevel="0" collapsed="false">
      <c r="A54" s="9" t="s">
        <v>352</v>
      </c>
      <c r="B54" s="34" t="n">
        <f aca="false">96.8/B52</f>
        <v>0.179259259259259</v>
      </c>
      <c r="C54" s="34" t="n">
        <f aca="false">103.5/C52</f>
        <v>0.17816071774595</v>
      </c>
      <c r="D54" s="34" t="n">
        <f aca="false">110.7/D52</f>
        <v>0.178978414260881</v>
      </c>
      <c r="E54" s="34" t="n">
        <f aca="false">118.4/E52</f>
        <v>0.184298804675338</v>
      </c>
      <c r="F54" s="34" t="n">
        <f aca="false">126.7/F52</f>
        <v>0.18968750539281</v>
      </c>
      <c r="G54" s="15" t="s">
        <v>353</v>
      </c>
    </row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>
      <c r="A57" s="4" t="s">
        <v>354</v>
      </c>
      <c r="B57" s="5"/>
      <c r="C57" s="5"/>
      <c r="D57" s="5"/>
      <c r="E57" s="5"/>
      <c r="F57" s="5"/>
      <c r="G57" s="5"/>
    </row>
    <row r="58" customFormat="false" ht="18" hidden="false" customHeight="true" outlineLevel="0" collapsed="false">
      <c r="A58" s="9" t="s">
        <v>355</v>
      </c>
      <c r="B58" s="35" t="n">
        <f aca="false">(B41-B49)*B51</f>
        <v>431.45735695413</v>
      </c>
      <c r="C58" s="35" t="n">
        <f aca="false">(C41-C49)*C51</f>
        <v>464.624576613109</v>
      </c>
      <c r="D58" s="35" t="n">
        <f aca="false">(D41-D49)*D51</f>
        <v>495.248053349631</v>
      </c>
      <c r="E58" s="35" t="n">
        <f aca="false">(E41-E49)*E51</f>
        <v>514.413290264383</v>
      </c>
      <c r="F58" s="35" t="n">
        <f aca="false">(F41-F49)*F51</f>
        <v>534.845141235361</v>
      </c>
      <c r="G58" s="15" t="s">
        <v>356</v>
      </c>
    </row>
    <row r="59" customFormat="false" ht="18" hidden="false" customHeight="true" outlineLevel="0" collapsed="false">
      <c r="A59" s="9" t="s">
        <v>357</v>
      </c>
      <c r="B59" s="35" t="n">
        <f aca="false">B43*B51</f>
        <v>58.5721686292224</v>
      </c>
      <c r="C59" s="35" t="n">
        <f aca="false">C43*C51</f>
        <v>62.9013302548721</v>
      </c>
      <c r="D59" s="35" t="n">
        <f aca="false">D43*D51</f>
        <v>66.8381328778385</v>
      </c>
      <c r="E59" s="35" t="n">
        <f aca="false">E43*E51</f>
        <v>69.410221137783</v>
      </c>
      <c r="F59" s="35" t="n">
        <f aca="false">F43*F51</f>
        <v>72.1521369333676</v>
      </c>
      <c r="G59" s="15" t="s">
        <v>358</v>
      </c>
    </row>
    <row r="60" customFormat="false" ht="18" hidden="false" customHeight="true" outlineLevel="0" collapsed="false">
      <c r="A60" s="9" t="s">
        <v>359</v>
      </c>
      <c r="B60" s="35" t="n">
        <f aca="false">B45*B51</f>
        <v>30.122569906379</v>
      </c>
      <c r="C60" s="35" t="n">
        <f aca="false">C45*C51</f>
        <v>31.7473273405289</v>
      </c>
      <c r="D60" s="35" t="n">
        <f aca="false">D45*D51</f>
        <v>33.1512197327667</v>
      </c>
      <c r="E60" s="35" t="n">
        <f aca="false">E45*E51</f>
        <v>34.4082932598644</v>
      </c>
      <c r="F60" s="35" t="n">
        <f aca="false">F45*F51</f>
        <v>35.7481601854963</v>
      </c>
      <c r="G60" s="15" t="s">
        <v>360</v>
      </c>
    </row>
    <row r="61" customFormat="false" ht="18" hidden="false" customHeight="true" outlineLevel="0" collapsed="false">
      <c r="A61" s="9" t="s">
        <v>361</v>
      </c>
      <c r="B61" s="35" t="n">
        <f aca="false">B47*B51</f>
        <v>19.8479045102686</v>
      </c>
      <c r="C61" s="35" t="n">
        <f aca="false">C47*C51</f>
        <v>21.6629076608034</v>
      </c>
      <c r="D61" s="35" t="n">
        <f aca="false">D47*D51</f>
        <v>23.2729348378586</v>
      </c>
      <c r="E61" s="35" t="n">
        <f aca="false">E47*E51</f>
        <v>24.2031813302789</v>
      </c>
      <c r="F61" s="35" t="n">
        <f aca="false">F47*F51</f>
        <v>25.1952345837531</v>
      </c>
      <c r="G61" s="15" t="s">
        <v>362</v>
      </c>
    </row>
    <row r="62" customFormat="false" ht="18" hidden="false" customHeight="true" outlineLevel="0" collapsed="false">
      <c r="A62" s="9" t="s">
        <v>363</v>
      </c>
      <c r="B62" s="37" t="n">
        <f aca="false">SUM(B58:B61)</f>
        <v>540</v>
      </c>
      <c r="C62" s="37" t="n">
        <f aca="false">SUM(C58:C61)</f>
        <v>580.936141869314</v>
      </c>
      <c r="D62" s="37" t="n">
        <f aca="false">SUM(D58:D61)</f>
        <v>618.510340798095</v>
      </c>
      <c r="E62" s="37" t="n">
        <f aca="false">SUM(E58:E61)</f>
        <v>642.434985992309</v>
      </c>
      <c r="F62" s="37" t="n">
        <f aca="false">SUM(F58:F61)</f>
        <v>667.940672937978</v>
      </c>
      <c r="G62" s="15" t="s">
        <v>364</v>
      </c>
    </row>
    <row r="63" customFormat="false" ht="18" hidden="false" customHeight="true" outlineLevel="0" collapsed="false"/>
    <row r="64" customFormat="false" ht="18" hidden="false" customHeight="true" outlineLevel="0" collapsed="false">
      <c r="A64" s="9" t="s">
        <v>365</v>
      </c>
      <c r="B64" s="36" t="n">
        <f aca="false">B13*B26*((Assumptions!H30)*B36+(Assumptions!H31)*(Assumptions!$D$49*(1+Assumptions!$D$57)^0)+(Assumptions!H32)*(Assumptions!$D$51*(1+Assumptions!$D$57)^0)+(Assumptions!H33)*(Assumptions!$D$53*(1+Assumptions!$D$57)^0))*B51-B49*B51</f>
        <v>171.146408925246</v>
      </c>
      <c r="C64" s="36" t="n">
        <f aca="false">C13*C26*((Assumptions!I30)*C36+(Assumptions!I31)*(Assumptions!$D$49*(1+Assumptions!$D$57)^1)+(Assumptions!I32)*(Assumptions!$D$51*(1+Assumptions!$D$57)^1)+(Assumptions!I33)*(Assumptions!$D$53*(1+Assumptions!$D$57)^1))*C51-C49*C51</f>
        <v>80.5011460981634</v>
      </c>
      <c r="D64" s="36" t="n">
        <f aca="false">D13*D26*((Assumptions!J30)*D36+(Assumptions!J31)*(Assumptions!$D$49*(1+Assumptions!$D$57)^2)+(Assumptions!J32)*(Assumptions!$D$51*(1+Assumptions!$D$57)^2)+(Assumptions!J33)*(Assumptions!$D$53*(1+Assumptions!$D$57)^2))*D51-D49*D51</f>
        <v>0</v>
      </c>
      <c r="E64" s="36" t="n">
        <f aca="false">E13*E26*((Assumptions!K30)*E36+(Assumptions!K31)*(Assumptions!$D$49*(1+Assumptions!$D$57)^3)+(Assumptions!K32)*(Assumptions!$D$51*(1+Assumptions!$D$57)^3)+(Assumptions!K33)*(Assumptions!$D$53*(1+Assumptions!$D$57)^3))*E51-E49*E51</f>
        <v>0</v>
      </c>
      <c r="F64" s="36" t="n">
        <f aca="false">F13*F26*((Assumptions!L30)*F36+(Assumptions!L31)*(Assumptions!$D$49*(1+Assumptions!$D$57)^4)+(Assumptions!L32)*(Assumptions!$D$51*(1+Assumptions!$D$57)^4)+(Assumptions!L33)*(Assumptions!$D$53*(1+Assumptions!$D$57)^4))*F51-F49*F51</f>
        <v>0</v>
      </c>
      <c r="G64" s="15" t="s">
        <v>366</v>
      </c>
    </row>
    <row r="65" customFormat="false" ht="18" hidden="false" customHeight="true" outlineLevel="0" collapsed="false">
      <c r="A65" s="9" t="s">
        <v>367</v>
      </c>
      <c r="B65" s="36" t="n">
        <f aca="false">B13*B27*((Assumptions!H30)*B37+(Assumptions!H31)*(Assumptions!$D$50*(1+Assumptions!$D$57)^0)+(Assumptions!H32)*(Assumptions!$D$52*(1+Assumptions!$D$57)^0)+(Assumptions!H33)*(Assumptions!$D$54*(1+Assumptions!$D$57)^0))*B51</f>
        <v>105.504643924534</v>
      </c>
      <c r="C65" s="36" t="n">
        <f aca="false">C13*C27*((Assumptions!I30)*C37+(Assumptions!I31)*(Assumptions!$D$50*(1+Assumptions!$D$57)^1)+(Assumptions!I32)*(Assumptions!$D$52*(1+Assumptions!$D$57)^1)+(Assumptions!I33)*(Assumptions!$D$54*(1+Assumptions!$D$57)^1))*C51</f>
        <v>226.072218339255</v>
      </c>
      <c r="D65" s="36" t="n">
        <f aca="false">D13*D27*((Assumptions!J30)*D37+(Assumptions!J31)*(Assumptions!$D$50*(1+Assumptions!$D$57)^2)+(Assumptions!J32)*(Assumptions!$D$52*(1+Assumptions!$D$57)^2)+(Assumptions!J33)*(Assumptions!$D$54*(1+Assumptions!$D$57)^2))*D51</f>
        <v>325.454905188865</v>
      </c>
      <c r="E65" s="36" t="n">
        <f aca="false">E13*E27*((Assumptions!K30)*E37+(Assumptions!K31)*(Assumptions!$D$50*(1+Assumptions!$D$57)^3)+(Assumptions!K32)*(Assumptions!$D$52*(1+Assumptions!$D$57)^3)+(Assumptions!K33)*(Assumptions!$D$54*(1+Assumptions!$D$57)^3))*E51</f>
        <v>331.752443629451</v>
      </c>
      <c r="F65" s="36" t="n">
        <f aca="false">F13*F27*((Assumptions!L30)*F37+(Assumptions!L31)*(Assumptions!$D$50*(1+Assumptions!$D$57)^4)+(Assumptions!L32)*(Assumptions!$D$52*(1+Assumptions!$D$57)^4)+(Assumptions!L33)*(Assumptions!$D$54*(1+Assumptions!$D$57)^4))*F51</f>
        <v>338.396552660559</v>
      </c>
      <c r="G65" s="15" t="s">
        <v>368</v>
      </c>
    </row>
    <row r="66" customFormat="false" ht="18" hidden="false" customHeight="true" outlineLevel="0" collapsed="false">
      <c r="A66" s="9" t="s">
        <v>369</v>
      </c>
      <c r="B66" s="36" t="n">
        <f aca="false">B13*B28*((Assumptions!H30)*B38+(Assumptions!H31)*((Assumptions!$D$50*(1+Assumptions!$D$57)^0)*(1+B32*0.8))+(Assumptions!H32)*((Assumptions!$D$52*(1+Assumptions!$D$57)^0)*(1+B32*0.3))+(Assumptions!H33)*(Assumptions!$D$55*(1+Assumptions!$D$57)^0))*B51</f>
        <v>222.56718375833</v>
      </c>
      <c r="C66" s="36" t="n">
        <f aca="false">C13*C28*((Assumptions!I30)*C38+(Assumptions!I31)*((Assumptions!$D$50*(1+Assumptions!$D$57)^1)*(1+C32*0.8))+(Assumptions!I32)*((Assumptions!$D$52*(1+Assumptions!$D$57)^1)*(1+C32*0.3))+(Assumptions!I33)*(Assumptions!$D$55*(1+Assumptions!$D$57)^1))*C51</f>
        <v>231.735483921197</v>
      </c>
      <c r="D66" s="36" t="n">
        <f aca="false">D13*D28*((Assumptions!J30)*D38+(Assumptions!J31)*((Assumptions!$D$50*(1+Assumptions!$D$57)^2)*(1+D32*0.8))+(Assumptions!J32)*((Assumptions!$D$52*(1+Assumptions!$D$57)^2)*(1+D32*0.3))+(Assumptions!J33)*(Assumptions!$D$55*(1+Assumptions!$D$57)^2))*D51</f>
        <v>248.914616697642</v>
      </c>
      <c r="E66" s="36" t="n">
        <f aca="false">E13*E28*((Assumptions!K30)*E38+(Assumptions!K31)*((Assumptions!$D$50*(1+Assumptions!$D$57)^3)*(1+E32*0.8))+(Assumptions!K32)*((Assumptions!$D$52*(1+Assumptions!$D$57)^3)*(1+E32*0.3))+(Assumptions!K33)*(Assumptions!$D$55*(1+Assumptions!$D$57)^3))*E51</f>
        <v>264.884119396029</v>
      </c>
      <c r="F66" s="36" t="n">
        <f aca="false">F13*F28*((Assumptions!L30)*F38+(Assumptions!L31)*((Assumptions!$D$50*(1+Assumptions!$D$57)^4)*(1+F32*0.8))+(Assumptions!L32)*((Assumptions!$D$52*(1+Assumptions!$D$57)^4)*(1+F32*0.3))+(Assumptions!L33)*(Assumptions!$D$55*(1+Assumptions!$D$57)^4))*F51</f>
        <v>281.979102784039</v>
      </c>
      <c r="G66" s="15" t="s">
        <v>370</v>
      </c>
    </row>
    <row r="67" customFormat="false" ht="18" hidden="false" customHeight="true" outlineLevel="0" collapsed="false">
      <c r="A67" s="9" t="s">
        <v>371</v>
      </c>
      <c r="B67" s="36" t="n">
        <f aca="false">B13*B29*((Assumptions!H30)*B39+(Assumptions!H31)*(8.5*(1+Assumptions!$D$57)^0)+(Assumptions!H32)*(4*(1+Assumptions!$D$57)^0)+(Assumptions!H33)*(Assumptions!$D$56*(1+Assumptions!$D$57)^0))*B51</f>
        <v>40.7817633918903</v>
      </c>
      <c r="C67" s="36" t="n">
        <f aca="false">C13*C29*((Assumptions!I30)*C39+(Assumptions!I31)*(8.5*(1+Assumptions!$D$57)^1)+(Assumptions!I32)*(4*(1+Assumptions!$D$57)^1)+(Assumptions!I33)*(Assumptions!$D$56*(1+Assumptions!$D$57)^1))*C51</f>
        <v>42.6272935106983</v>
      </c>
      <c r="D67" s="36" t="n">
        <f aca="false">D13*D29*((Assumptions!J30)*D39+(Assumptions!J31)*(8.5*(1+Assumptions!$D$57)^2)+(Assumptions!J32)*(4*(1+Assumptions!$D$57)^2)+(Assumptions!J33)*(Assumptions!$D$56*(1+Assumptions!$D$57)^2))*D51</f>
        <v>44.1408189115873</v>
      </c>
      <c r="E67" s="36" t="n">
        <f aca="false">E13*E29*((Assumptions!K30)*E39+(Assumptions!K31)*(8.5*(1+Assumptions!$D$57)^3)+(Assumptions!K32)*(4*(1+Assumptions!$D$57)^3)+(Assumptions!K33)*(Assumptions!$D$56*(1+Assumptions!$D$57)^3))*E51</f>
        <v>45.79842296683</v>
      </c>
      <c r="F67" s="36" t="n">
        <f aca="false">F13*F29*((Assumptions!L30)*F39+(Assumptions!L31)*(8.5*(1+Assumptions!$D$57)^4)+(Assumptions!L32)*(4*(1+Assumptions!$D$57)^4)+(Assumptions!L33)*(Assumptions!$D$56*(1+Assumptions!$D$57)^4))*F51</f>
        <v>47.5650174933808</v>
      </c>
      <c r="G67" s="15" t="s">
        <v>372</v>
      </c>
    </row>
    <row r="68" customFormat="false" ht="18" hidden="false" customHeight="true" outlineLevel="0" collapsed="false">
      <c r="A68" s="9" t="s">
        <v>373</v>
      </c>
      <c r="B68" s="37" t="n">
        <f aca="false">SUM(B64:B67)</f>
        <v>540</v>
      </c>
      <c r="C68" s="37" t="n">
        <f aca="false">SUM(C64:C67)</f>
        <v>580.936141869314</v>
      </c>
      <c r="D68" s="37" t="n">
        <f aca="false">SUM(D64:D67)</f>
        <v>618.510340798095</v>
      </c>
      <c r="E68" s="37" t="n">
        <f aca="false">SUM(E64:E67)</f>
        <v>642.434985992309</v>
      </c>
      <c r="F68" s="37" t="n">
        <f aca="false">SUM(F64:F67)</f>
        <v>667.940672937978</v>
      </c>
      <c r="G68" s="15" t="s">
        <v>364</v>
      </c>
    </row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>
      <c r="A72" s="4" t="s">
        <v>374</v>
      </c>
      <c r="B72" s="5"/>
      <c r="C72" s="5"/>
      <c r="D72" s="5"/>
      <c r="E72" s="5"/>
      <c r="F72" s="5"/>
      <c r="G72" s="5"/>
    </row>
    <row r="73" customFormat="false" ht="18" hidden="false" customHeight="true" outlineLevel="0" collapsed="false">
      <c r="A73" s="6" t="s">
        <v>375</v>
      </c>
      <c r="B73" s="7" t="s">
        <v>376</v>
      </c>
      <c r="C73" s="7" t="s">
        <v>377</v>
      </c>
      <c r="D73" s="7" t="s">
        <v>378</v>
      </c>
      <c r="E73" s="7" t="s">
        <v>379</v>
      </c>
    </row>
    <row r="74" customFormat="false" ht="18" hidden="false" customHeight="true" outlineLevel="0" collapsed="false">
      <c r="A74" s="9" t="s">
        <v>380</v>
      </c>
      <c r="B74" s="31" t="n">
        <f aca="false">Assumptions!J29</f>
        <v>0</v>
      </c>
      <c r="C74" s="28" t="n">
        <f aca="false">Assumptions!J25*Assumptions!J26/12*(1-B74)</f>
        <v>105.05333474617</v>
      </c>
      <c r="D74" s="30" t="n">
        <f aca="false">C74-$C$75</f>
        <v>0.525266673730854</v>
      </c>
      <c r="E74" s="9" t="s">
        <v>381</v>
      </c>
    </row>
    <row r="75" customFormat="false" ht="18" hidden="false" customHeight="true" outlineLevel="0" collapsed="false">
      <c r="A75" s="45" t="s">
        <v>92</v>
      </c>
      <c r="B75" s="46" t="n">
        <f aca="false">Assumptions!J27</f>
        <v>0.005</v>
      </c>
      <c r="C75" s="47" t="n">
        <f aca="false">Assumptions!J25*Assumptions!J26/12*(1-B75)</f>
        <v>104.528068072439</v>
      </c>
      <c r="D75" s="48" t="n">
        <f aca="false">0</f>
        <v>0</v>
      </c>
      <c r="E75" s="45" t="s">
        <v>382</v>
      </c>
    </row>
    <row r="76" customFormat="false" ht="18" hidden="false" customHeight="true" outlineLevel="0" collapsed="false">
      <c r="A76" s="9" t="s">
        <v>383</v>
      </c>
      <c r="B76" s="31" t="n">
        <f aca="false">Assumptions!J28</f>
        <v>0.01</v>
      </c>
      <c r="C76" s="28" t="n">
        <f aca="false">Assumptions!J25*Assumptions!J26/12*(1-B76)</f>
        <v>104.002801398708</v>
      </c>
      <c r="D76" s="30" t="n">
        <f aca="false">C76-$C$75</f>
        <v>-0.525266673730854</v>
      </c>
      <c r="E76" s="9" t="s">
        <v>384</v>
      </c>
    </row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  <row r="80" customFormat="false" ht="18" hidden="false" customHeight="true" outlineLevel="0" collapsed="false">
      <c r="A80" s="6" t="s">
        <v>385</v>
      </c>
      <c r="B80" s="7" t="s">
        <v>58</v>
      </c>
      <c r="C80" s="7" t="s">
        <v>386</v>
      </c>
      <c r="D80" s="7" t="s">
        <v>387</v>
      </c>
    </row>
    <row r="81" customFormat="false" ht="18" hidden="false" customHeight="true" outlineLevel="0" collapsed="false">
      <c r="A81" s="9" t="s">
        <v>388</v>
      </c>
      <c r="B81" s="49" t="n">
        <f aca="false">Assumptions!$D$74</f>
        <v>-1.34</v>
      </c>
      <c r="C81" s="9" t="s">
        <v>389</v>
      </c>
      <c r="D81" s="34" t="n">
        <f aca="false">B81*5%</f>
        <v>-0.067</v>
      </c>
    </row>
    <row r="82" customFormat="false" ht="18" hidden="false" customHeight="true" outlineLevel="0" collapsed="false">
      <c r="A82" s="9" t="s">
        <v>390</v>
      </c>
      <c r="B82" s="49" t="n">
        <f aca="false">Assumptions!$D$76</f>
        <v>0.62</v>
      </c>
      <c r="C82" s="9" t="s">
        <v>391</v>
      </c>
      <c r="D82" s="34" t="n">
        <f aca="false">B82*5%</f>
        <v>0.031</v>
      </c>
    </row>
    <row r="83" customFormat="false" ht="18" hidden="false" customHeight="true" outlineLevel="0" collapsed="false">
      <c r="A83" s="9" t="s">
        <v>392</v>
      </c>
      <c r="B83" s="31" t="n">
        <f aca="false">Assumptions!$D$78</f>
        <v>0.21</v>
      </c>
      <c r="C83" s="9" t="s">
        <v>393</v>
      </c>
      <c r="D83" s="34" t="n">
        <f aca="false">B83</f>
        <v>0.21</v>
      </c>
    </row>
    <row r="84" customFormat="false" ht="18" hidden="false" customHeight="true" outlineLevel="0" collapsed="false"/>
    <row r="85" customFormat="false" ht="18" hidden="false" customHeight="true" outlineLevel="0" collapsed="false"/>
    <row r="86" customFormat="false" ht="18" hidden="false" customHeight="true" outlineLevel="0" collapsed="false">
      <c r="A86" s="4" t="s">
        <v>394</v>
      </c>
      <c r="B86" s="5"/>
      <c r="C86" s="5"/>
      <c r="D86" s="5"/>
      <c r="E86" s="5"/>
      <c r="F86" s="5"/>
      <c r="G86" s="5"/>
      <c r="H86" s="5"/>
    </row>
    <row r="87" customFormat="false" ht="18" hidden="false" customHeight="true" outlineLevel="0" collapsed="false">
      <c r="A87" s="6" t="s">
        <v>385</v>
      </c>
      <c r="B87" s="7" t="s">
        <v>395</v>
      </c>
      <c r="C87" s="7" t="s">
        <v>396</v>
      </c>
      <c r="D87" s="7" t="s">
        <v>397</v>
      </c>
      <c r="E87" s="7" t="s">
        <v>398</v>
      </c>
      <c r="F87" s="7" t="s">
        <v>399</v>
      </c>
      <c r="G87" s="6" t="s">
        <v>400</v>
      </c>
    </row>
    <row r="88" customFormat="false" ht="18" hidden="false" customHeight="true" outlineLevel="0" collapsed="false"/>
    <row r="89" customFormat="false" ht="18" hidden="false" customHeight="true" outlineLevel="0" collapsed="false">
      <c r="A89" s="50" t="s">
        <v>401</v>
      </c>
      <c r="B89" s="51" t="n">
        <f aca="false">96.8*Assumptions!$D$94*0.5</f>
        <v>0.4598</v>
      </c>
      <c r="C89" s="51" t="n">
        <f aca="false">103.5*Assumptions!$D$94*0.5</f>
        <v>0.491625</v>
      </c>
      <c r="D89" s="51" t="n">
        <f aca="false">110.7*Assumptions!$D$94*0.5</f>
        <v>0.525825</v>
      </c>
      <c r="E89" s="51" t="n">
        <f aca="false">118.4*Assumptions!$D$94*0.5</f>
        <v>0.5624</v>
      </c>
      <c r="F89" s="51" t="n">
        <f aca="false">126.7*Assumptions!$D$94*0.5</f>
        <v>0.601825</v>
      </c>
      <c r="G89" s="15" t="s">
        <v>402</v>
      </c>
    </row>
    <row r="90" customFormat="false" ht="18" hidden="false" customHeight="true" outlineLevel="0" collapsed="false">
      <c r="A90" s="9" t="s">
        <v>403</v>
      </c>
      <c r="B90" s="51" t="n">
        <f aca="false">96.8*Assumptions!$E$94*0.5</f>
        <v>0.3872</v>
      </c>
      <c r="C90" s="51" t="n">
        <f aca="false">103.5*Assumptions!$E$94*0.5</f>
        <v>0.414</v>
      </c>
      <c r="D90" s="51" t="n">
        <f aca="false">110.7*Assumptions!$E$94*0.5</f>
        <v>0.4428</v>
      </c>
      <c r="E90" s="51" t="n">
        <f aca="false">118.4*Assumptions!$E$94*0.5</f>
        <v>0.4736</v>
      </c>
      <c r="F90" s="51" t="n">
        <f aca="false">126.7*Assumptions!$E$94*0.5</f>
        <v>0.5068</v>
      </c>
      <c r="G90" s="15" t="s">
        <v>404</v>
      </c>
    </row>
    <row r="91" customFormat="false" ht="18" hidden="false" customHeight="true" outlineLevel="0" collapsed="false">
      <c r="A91" s="9" t="s">
        <v>405</v>
      </c>
      <c r="B91" s="51" t="n">
        <f aca="false">96.8*Assumptions!$F$94*0.5</f>
        <v>0.5324</v>
      </c>
      <c r="C91" s="51" t="n">
        <f aca="false">103.5*Assumptions!$F$94*0.5</f>
        <v>0.56925</v>
      </c>
      <c r="D91" s="51" t="n">
        <f aca="false">110.7*Assumptions!$F$94*0.5</f>
        <v>0.60885</v>
      </c>
      <c r="E91" s="51" t="n">
        <f aca="false">118.4*Assumptions!$F$94*0.5</f>
        <v>0.6512</v>
      </c>
      <c r="F91" s="51" t="n">
        <f aca="false">126.7*Assumptions!$F$94*0.5</f>
        <v>0.69685</v>
      </c>
      <c r="G91" s="15" t="s">
        <v>406</v>
      </c>
    </row>
    <row r="92" customFormat="false" ht="18" hidden="false" customHeight="true" outlineLevel="0" collapsed="false"/>
    <row r="93" customFormat="false" ht="18" hidden="false" customHeight="true" outlineLevel="0" collapsed="false">
      <c r="A93" s="50" t="s">
        <v>407</v>
      </c>
      <c r="B93" s="52" t="n">
        <f aca="false">0</f>
        <v>0</v>
      </c>
      <c r="C93" s="52" t="n">
        <f aca="false">0</f>
        <v>0</v>
      </c>
      <c r="D93" s="51" t="n">
        <f aca="false">110.7*(D26+D27)*Assumptions!$D$96</f>
        <v>1.1673315</v>
      </c>
      <c r="E93" s="51" t="n">
        <f aca="false">118.4*(E26+E27)*Assumptions!$D$96</f>
        <v>1.226624</v>
      </c>
      <c r="F93" s="51" t="n">
        <f aca="false">126.7*(F26+F27)*Assumptions!$D$96</f>
        <v>1.2891725</v>
      </c>
      <c r="G93" s="15" t="s">
        <v>408</v>
      </c>
    </row>
    <row r="94" customFormat="false" ht="18" hidden="false" customHeight="true" outlineLevel="0" collapsed="false">
      <c r="A94" s="9" t="s">
        <v>409</v>
      </c>
      <c r="B94" s="52" t="n">
        <f aca="false">0</f>
        <v>0</v>
      </c>
      <c r="C94" s="52" t="n">
        <f aca="false">0</f>
        <v>0</v>
      </c>
      <c r="D94" s="51" t="n">
        <f aca="false">110.7*(D26+D27)*Assumptions!$E$96</f>
        <v>0.946485</v>
      </c>
      <c r="E94" s="51" t="n">
        <f aca="false">118.4*(E26+E27)*Assumptions!$E$96</f>
        <v>0.99456</v>
      </c>
      <c r="F94" s="51" t="n">
        <f aca="false">126.7*(F26+F27)*Assumptions!$E$96</f>
        <v>1.045275</v>
      </c>
      <c r="G94" s="15" t="s">
        <v>404</v>
      </c>
    </row>
    <row r="95" customFormat="false" ht="18" hidden="false" customHeight="true" outlineLevel="0" collapsed="false">
      <c r="A95" s="9" t="s">
        <v>410</v>
      </c>
      <c r="B95" s="52" t="n">
        <f aca="false">0</f>
        <v>0</v>
      </c>
      <c r="C95" s="52" t="n">
        <f aca="false">0</f>
        <v>0</v>
      </c>
      <c r="D95" s="51" t="n">
        <f aca="false">110.7*(D26+D27)*Assumptions!$F$96</f>
        <v>1.388178</v>
      </c>
      <c r="E95" s="51" t="n">
        <f aca="false">118.4*(E26+E27)*Assumptions!$F$96</f>
        <v>1.458688</v>
      </c>
      <c r="F95" s="51" t="n">
        <f aca="false">126.7*(F26+F27)*Assumptions!$F$96</f>
        <v>1.53307</v>
      </c>
      <c r="G95" s="15" t="s">
        <v>406</v>
      </c>
    </row>
    <row r="96" customFormat="false" ht="18" hidden="false" customHeight="true" outlineLevel="0" collapsed="false"/>
    <row r="97" customFormat="false" ht="18" hidden="false" customHeight="true" outlineLevel="0" collapsed="false">
      <c r="A97" s="50" t="s">
        <v>411</v>
      </c>
      <c r="B97" s="51" t="n">
        <f aca="false">96.8*Assumptions!$D$97*Assumptions!$D$98*0.5</f>
        <v>0.484</v>
      </c>
      <c r="C97" s="51" t="n">
        <f aca="false">103.5*Assumptions!$D$97*Assumptions!$D$98*0.5</f>
        <v>0.5175</v>
      </c>
      <c r="D97" s="51" t="n">
        <f aca="false">110.7*Assumptions!$D$97*Assumptions!$D$98*0.5</f>
        <v>0.5535</v>
      </c>
      <c r="E97" s="51" t="n">
        <f aca="false">118.4*Assumptions!$D$97*Assumptions!$D$98*0.5</f>
        <v>0.592</v>
      </c>
      <c r="F97" s="51" t="n">
        <f aca="false">126.7*Assumptions!$D$97*Assumptions!$D$98*0.5</f>
        <v>0.6335</v>
      </c>
      <c r="G97" s="15" t="s">
        <v>412</v>
      </c>
    </row>
    <row r="98" customFormat="false" ht="18" hidden="false" customHeight="true" outlineLevel="0" collapsed="false">
      <c r="A98" s="9" t="s">
        <v>413</v>
      </c>
      <c r="B98" s="51" t="n">
        <f aca="false">96.8*Assumptions!$E$97*Assumptions!$E$98*0.5</f>
        <v>0.26136</v>
      </c>
      <c r="C98" s="51" t="n">
        <f aca="false">103.5*Assumptions!$E$97*Assumptions!$E$98*0.5</f>
        <v>0.27945</v>
      </c>
      <c r="D98" s="51" t="n">
        <f aca="false">110.7*Assumptions!$E$97*Assumptions!$E$98*0.5</f>
        <v>0.29889</v>
      </c>
      <c r="E98" s="51" t="n">
        <f aca="false">118.4*Assumptions!$E$97*Assumptions!$E$98*0.5</f>
        <v>0.31968</v>
      </c>
      <c r="F98" s="51" t="n">
        <f aca="false">126.7*Assumptions!$E$97*Assumptions!$E$98*0.5</f>
        <v>0.34209</v>
      </c>
      <c r="G98" s="15" t="s">
        <v>414</v>
      </c>
    </row>
    <row r="99" customFormat="false" ht="18" hidden="false" customHeight="true" outlineLevel="0" collapsed="false">
      <c r="A99" s="9" t="s">
        <v>415</v>
      </c>
      <c r="B99" s="51" t="n">
        <f aca="false">96.8*Assumptions!$F$97*Assumptions!$F$98*0.5</f>
        <v>0.74536</v>
      </c>
      <c r="C99" s="51" t="n">
        <f aca="false">103.5*Assumptions!$F$97*Assumptions!$F$98*0.5</f>
        <v>0.79695</v>
      </c>
      <c r="D99" s="51" t="n">
        <f aca="false">110.7*Assumptions!$F$97*Assumptions!$F$98*0.5</f>
        <v>0.85239</v>
      </c>
      <c r="E99" s="51" t="n">
        <f aca="false">118.4*Assumptions!$F$97*Assumptions!$F$98*0.5</f>
        <v>0.91168</v>
      </c>
      <c r="F99" s="51" t="n">
        <f aca="false">126.7*Assumptions!$F$97*Assumptions!$F$98*0.5</f>
        <v>0.97559</v>
      </c>
      <c r="G99" s="15" t="s">
        <v>416</v>
      </c>
    </row>
    <row r="100" customFormat="false" ht="18" hidden="false" customHeight="true" outlineLevel="0" collapsed="false"/>
    <row r="101" customFormat="false" ht="18" hidden="false" customHeight="true" outlineLevel="0" collapsed="false">
      <c r="A101" s="50" t="s">
        <v>417</v>
      </c>
      <c r="B101" s="52" t="n">
        <f aca="false">0</f>
        <v>0</v>
      </c>
      <c r="C101" s="52" t="n">
        <f aca="false">0</f>
        <v>0</v>
      </c>
      <c r="D101" s="51" t="n">
        <f aca="false">Assumptions!$D$99</f>
        <v>1</v>
      </c>
      <c r="E101" s="51" t="n">
        <f aca="false">Assumptions!$D$99</f>
        <v>1</v>
      </c>
      <c r="F101" s="51" t="n">
        <f aca="false">Assumptions!$D$99</f>
        <v>1</v>
      </c>
      <c r="G101" s="15" t="s">
        <v>418</v>
      </c>
    </row>
    <row r="102" customFormat="false" ht="18" hidden="false" customHeight="true" outlineLevel="0" collapsed="false">
      <c r="A102" s="50" t="s">
        <v>419</v>
      </c>
      <c r="B102" s="51" t="n">
        <f aca="false">IF(B31&gt;0,Assumptions!$D$101*(B31/0.1),0)</f>
        <v>0</v>
      </c>
      <c r="C102" s="51" t="n">
        <f aca="false">IF(C31&gt;0,Assumptions!$D$101*(C31/0.1),0)</f>
        <v>0</v>
      </c>
      <c r="D102" s="51" t="n">
        <f aca="false">IF(D31&gt;0,Assumptions!$D$101*(D31/0.1),0)</f>
        <v>0</v>
      </c>
      <c r="E102" s="51" t="n">
        <f aca="false">IF(E31&gt;0,Assumptions!$D$101*(E31/0.1),0)</f>
        <v>0</v>
      </c>
      <c r="F102" s="51" t="n">
        <f aca="false">IF(F31&gt;0,Assumptions!$D$101*(F31/0.1),0)</f>
        <v>0</v>
      </c>
      <c r="G102" s="15" t="s">
        <v>420</v>
      </c>
    </row>
    <row r="103" customFormat="false" ht="18" hidden="false" customHeight="true" outlineLevel="0" collapsed="false"/>
    <row r="104" customFormat="false" ht="18" hidden="false" customHeight="true" outlineLevel="0" collapsed="false"/>
    <row r="105" customFormat="false" ht="18" hidden="false" customHeight="true" outlineLevel="0" collapsed="false">
      <c r="A105" s="9" t="s">
        <v>421</v>
      </c>
      <c r="B105" s="9"/>
      <c r="C105" s="9"/>
      <c r="D105" s="9"/>
      <c r="E105" s="9"/>
      <c r="F105" s="9"/>
      <c r="G105" s="9"/>
    </row>
    <row r="106" customFormat="false" ht="18" hidden="false" customHeight="true" outlineLevel="0" collapsed="false">
      <c r="A106" s="9"/>
      <c r="B106" s="9"/>
      <c r="C106" s="9"/>
      <c r="D106" s="9"/>
      <c r="E106" s="9"/>
      <c r="F106" s="9"/>
      <c r="G106" s="9"/>
    </row>
  </sheetData>
  <mergeCells count="2">
    <mergeCell ref="E3:H4"/>
    <mergeCell ref="A105:G106"/>
  </mergeCells>
  <dataValidations count="2">
    <dataValidation allowBlank="false" errorStyle="stop" operator="between" showDropDown="false" showErrorMessage="false" showInputMessage="false" sqref="B3" type="list">
      <formula1>"Base case,Upside / tight supply,Downside / delay"</formula1>
      <formula2>0</formula2>
    </dataValidation>
    <dataValidation allowBlank="false" errorStyle="stop" operator="between" showDropDown="false" showErrorMessage="false" showInputMessage="false" sqref="B4" type="list">
      <formula1>"Base,Downside,Upside"</formula1>
      <formula2>0</formula2>
    </dataValidation>
  </dataValidations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30"/>
    <col collapsed="false" customWidth="true" hidden="false" outlineLevel="0" max="7" min="3" style="1" width="13"/>
    <col collapsed="false" customWidth="true" hidden="false" outlineLevel="0" max="8" min="8" style="1" width="90"/>
  </cols>
  <sheetData>
    <row r="1" customFormat="false" ht="24" hidden="false" customHeight="true" outlineLevel="0" collapsed="false">
      <c r="A1" s="2" t="s">
        <v>422</v>
      </c>
    </row>
    <row r="2" customFormat="false" ht="36" hidden="false" customHeight="true" outlineLevel="0" collapsed="false">
      <c r="A2" s="3" t="s">
        <v>423</v>
      </c>
    </row>
    <row r="3" customFormat="false" ht="18" hidden="false" customHeight="true" outlineLevel="0" collapsed="false"/>
    <row r="4" customFormat="false" ht="18" hidden="false" customHeight="true" outlineLevel="0" collapsed="false">
      <c r="A4" s="4" t="s">
        <v>424</v>
      </c>
      <c r="B4" s="5"/>
      <c r="C4" s="5"/>
      <c r="D4" s="5"/>
      <c r="E4" s="5"/>
      <c r="F4" s="5"/>
      <c r="G4" s="5"/>
      <c r="H4" s="5"/>
    </row>
    <row r="5" customFormat="false" ht="18" hidden="false" customHeight="true" outlineLevel="0" collapsed="false">
      <c r="A5" s="6" t="s">
        <v>135</v>
      </c>
      <c r="B5" s="7" t="s">
        <v>213</v>
      </c>
      <c r="C5" s="7" t="s">
        <v>64</v>
      </c>
      <c r="D5" s="7" t="s">
        <v>65</v>
      </c>
      <c r="E5" s="7" t="s">
        <v>66</v>
      </c>
      <c r="F5" s="7" t="s">
        <v>67</v>
      </c>
      <c r="G5" s="6" t="s">
        <v>68</v>
      </c>
      <c r="H5" s="6" t="s">
        <v>136</v>
      </c>
    </row>
    <row r="6" customFormat="false" ht="18" hidden="false" customHeight="true" outlineLevel="0" collapsed="false">
      <c r="A6" s="45" t="s">
        <v>137</v>
      </c>
      <c r="B6" s="22" t="s">
        <v>84</v>
      </c>
      <c r="C6" s="18" t="n">
        <v>0.4</v>
      </c>
      <c r="D6" s="18" t="n">
        <v>0.18</v>
      </c>
      <c r="E6" s="18" t="n">
        <v>0</v>
      </c>
      <c r="F6" s="18" t="n">
        <v>0</v>
      </c>
      <c r="G6" s="18" t="n">
        <v>0</v>
      </c>
      <c r="H6" s="9" t="s">
        <v>425</v>
      </c>
    </row>
    <row r="7" customFormat="false" ht="18" hidden="false" customHeight="true" outlineLevel="0" collapsed="false">
      <c r="A7" s="45" t="s">
        <v>137</v>
      </c>
      <c r="B7" s="22" t="s">
        <v>86</v>
      </c>
      <c r="C7" s="18" t="n">
        <v>0.2</v>
      </c>
      <c r="D7" s="18" t="n">
        <v>0.41</v>
      </c>
      <c r="E7" s="18" t="n">
        <v>0.57</v>
      </c>
      <c r="F7" s="18" t="n">
        <v>0.56</v>
      </c>
      <c r="G7" s="18" t="n">
        <v>0.55</v>
      </c>
      <c r="H7" s="9"/>
    </row>
    <row r="8" customFormat="false" ht="18" hidden="false" customHeight="true" outlineLevel="0" collapsed="false">
      <c r="A8" s="45" t="s">
        <v>137</v>
      </c>
      <c r="B8" s="22" t="s">
        <v>306</v>
      </c>
      <c r="C8" s="18" t="n">
        <v>0.36</v>
      </c>
      <c r="D8" s="18" t="n">
        <v>0.37</v>
      </c>
      <c r="E8" s="18" t="n">
        <v>0.39</v>
      </c>
      <c r="F8" s="18" t="n">
        <v>0.4</v>
      </c>
      <c r="G8" s="18" t="n">
        <v>0.41</v>
      </c>
      <c r="H8" s="9"/>
    </row>
    <row r="9" customFormat="false" ht="18" hidden="false" customHeight="true" outlineLevel="0" collapsed="false">
      <c r="A9" s="45" t="s">
        <v>137</v>
      </c>
      <c r="B9" s="22" t="s">
        <v>88</v>
      </c>
      <c r="C9" s="18" t="n">
        <v>0.04</v>
      </c>
      <c r="D9" s="18" t="n">
        <v>0.04</v>
      </c>
      <c r="E9" s="18" t="n">
        <v>0.04</v>
      </c>
      <c r="F9" s="18" t="n">
        <v>0.04</v>
      </c>
      <c r="G9" s="18" t="n">
        <v>0.04</v>
      </c>
      <c r="H9" s="9"/>
    </row>
    <row r="10" customFormat="false" ht="18" hidden="false" customHeight="true" outlineLevel="0" collapsed="false">
      <c r="A10" s="45" t="s">
        <v>137</v>
      </c>
      <c r="B10" s="22" t="s">
        <v>313</v>
      </c>
      <c r="C10" s="18" t="n">
        <v>0.18</v>
      </c>
      <c r="D10" s="18" t="n">
        <v>0.14</v>
      </c>
      <c r="E10" s="18" t="n">
        <v>0.12</v>
      </c>
      <c r="F10" s="18" t="n">
        <v>0.12</v>
      </c>
      <c r="G10" s="18" t="n">
        <v>0.12</v>
      </c>
      <c r="H10" s="9"/>
    </row>
    <row r="11" customFormat="false" ht="18" hidden="false" customHeight="true" outlineLevel="0" collapsed="false">
      <c r="A11" s="45" t="s">
        <v>137</v>
      </c>
      <c r="B11" s="22" t="s">
        <v>311</v>
      </c>
      <c r="C11" s="18" t="n">
        <v>0</v>
      </c>
      <c r="D11" s="18" t="n">
        <v>0</v>
      </c>
      <c r="E11" s="18" t="n">
        <v>0</v>
      </c>
      <c r="F11" s="18" t="n">
        <v>0</v>
      </c>
      <c r="G11" s="18" t="n">
        <v>0</v>
      </c>
      <c r="H11" s="9"/>
    </row>
    <row r="12" customFormat="false" ht="18" hidden="false" customHeight="true" outlineLevel="0" collapsed="false">
      <c r="A12" s="45" t="s">
        <v>137</v>
      </c>
      <c r="B12" s="22" t="s">
        <v>426</v>
      </c>
      <c r="C12" s="25" t="n">
        <v>55</v>
      </c>
      <c r="D12" s="25" t="n">
        <v>55</v>
      </c>
      <c r="E12" s="25" t="n">
        <v>55</v>
      </c>
      <c r="F12" s="25" t="n">
        <v>55</v>
      </c>
      <c r="G12" s="25" t="n">
        <v>55</v>
      </c>
      <c r="H12" s="9"/>
    </row>
    <row r="13" customFormat="false" ht="18" hidden="false" customHeight="true" outlineLevel="0" collapsed="false">
      <c r="A13" s="45" t="s">
        <v>137</v>
      </c>
      <c r="B13" s="22" t="s">
        <v>157</v>
      </c>
      <c r="C13" s="18" t="n">
        <v>0.4</v>
      </c>
      <c r="D13" s="18" t="n">
        <v>0.2</v>
      </c>
      <c r="E13" s="18" t="n">
        <v>0</v>
      </c>
      <c r="F13" s="18" t="n">
        <v>0</v>
      </c>
      <c r="G13" s="18" t="n">
        <v>0</v>
      </c>
      <c r="H13" s="9"/>
    </row>
    <row r="14" customFormat="false" ht="18" hidden="false" customHeight="true" outlineLevel="0" collapsed="false">
      <c r="A14" s="45" t="s">
        <v>139</v>
      </c>
      <c r="B14" s="22" t="s">
        <v>84</v>
      </c>
      <c r="C14" s="18" t="n">
        <v>0.4</v>
      </c>
      <c r="D14" s="18" t="n">
        <v>0.15</v>
      </c>
      <c r="E14" s="18" t="n">
        <v>0</v>
      </c>
      <c r="F14" s="18" t="n">
        <v>0</v>
      </c>
      <c r="G14" s="18" t="n">
        <v>0</v>
      </c>
      <c r="H14" s="9" t="s">
        <v>427</v>
      </c>
    </row>
    <row r="15" customFormat="false" ht="18" hidden="false" customHeight="true" outlineLevel="0" collapsed="false">
      <c r="A15" s="45" t="s">
        <v>139</v>
      </c>
      <c r="B15" s="22" t="s">
        <v>86</v>
      </c>
      <c r="C15" s="18" t="n">
        <v>0.2</v>
      </c>
      <c r="D15" s="18" t="n">
        <v>0.38</v>
      </c>
      <c r="E15" s="18" t="n">
        <v>0.48</v>
      </c>
      <c r="F15" s="18" t="n">
        <v>0.47</v>
      </c>
      <c r="G15" s="18" t="n">
        <v>0.46</v>
      </c>
      <c r="H15" s="9"/>
    </row>
    <row r="16" customFormat="false" ht="18" hidden="false" customHeight="true" outlineLevel="0" collapsed="false">
      <c r="A16" s="45" t="s">
        <v>139</v>
      </c>
      <c r="B16" s="22" t="s">
        <v>306</v>
      </c>
      <c r="C16" s="18" t="n">
        <v>0.36</v>
      </c>
      <c r="D16" s="18" t="n">
        <v>0.42</v>
      </c>
      <c r="E16" s="18" t="n">
        <v>0.46</v>
      </c>
      <c r="F16" s="18" t="n">
        <v>0.47</v>
      </c>
      <c r="G16" s="18" t="n">
        <v>0.48</v>
      </c>
      <c r="H16" s="9"/>
    </row>
    <row r="17" customFormat="false" ht="18" hidden="false" customHeight="true" outlineLevel="0" collapsed="false">
      <c r="A17" s="45" t="s">
        <v>139</v>
      </c>
      <c r="B17" s="22" t="s">
        <v>88</v>
      </c>
      <c r="C17" s="18" t="n">
        <v>0.04</v>
      </c>
      <c r="D17" s="18" t="n">
        <v>0.05</v>
      </c>
      <c r="E17" s="18" t="n">
        <v>0.06</v>
      </c>
      <c r="F17" s="18" t="n">
        <v>0.06</v>
      </c>
      <c r="G17" s="18" t="n">
        <v>0.06</v>
      </c>
      <c r="H17" s="9"/>
    </row>
    <row r="18" customFormat="false" ht="18" hidden="false" customHeight="true" outlineLevel="0" collapsed="false">
      <c r="A18" s="45" t="s">
        <v>139</v>
      </c>
      <c r="B18" s="22" t="s">
        <v>313</v>
      </c>
      <c r="C18" s="18" t="n">
        <v>0.18</v>
      </c>
      <c r="D18" s="18" t="n">
        <v>0.15</v>
      </c>
      <c r="E18" s="18" t="n">
        <v>0.15</v>
      </c>
      <c r="F18" s="18" t="n">
        <v>0.15</v>
      </c>
      <c r="G18" s="18" t="n">
        <v>0.15</v>
      </c>
      <c r="H18" s="9"/>
    </row>
    <row r="19" customFormat="false" ht="18" hidden="false" customHeight="true" outlineLevel="0" collapsed="false">
      <c r="A19" s="45" t="s">
        <v>139</v>
      </c>
      <c r="B19" s="22" t="s">
        <v>311</v>
      </c>
      <c r="C19" s="18" t="n">
        <v>0</v>
      </c>
      <c r="D19" s="18" t="n">
        <v>0</v>
      </c>
      <c r="E19" s="18" t="n">
        <v>0</v>
      </c>
      <c r="F19" s="18" t="n">
        <v>0</v>
      </c>
      <c r="G19" s="18" t="n">
        <v>0</v>
      </c>
      <c r="H19" s="9"/>
    </row>
    <row r="20" customFormat="false" ht="18" hidden="false" customHeight="true" outlineLevel="0" collapsed="false">
      <c r="A20" s="45" t="s">
        <v>139</v>
      </c>
      <c r="B20" s="22" t="s">
        <v>426</v>
      </c>
      <c r="C20" s="25" t="n">
        <v>60</v>
      </c>
      <c r="D20" s="25" t="n">
        <v>60</v>
      </c>
      <c r="E20" s="25" t="n">
        <v>60</v>
      </c>
      <c r="F20" s="25" t="n">
        <v>60</v>
      </c>
      <c r="G20" s="25" t="n">
        <v>60</v>
      </c>
      <c r="H20" s="9"/>
    </row>
    <row r="21" customFormat="false" ht="18" hidden="false" customHeight="true" outlineLevel="0" collapsed="false">
      <c r="A21" s="45" t="s">
        <v>139</v>
      </c>
      <c r="B21" s="22" t="s">
        <v>157</v>
      </c>
      <c r="C21" s="18" t="n">
        <v>0.4</v>
      </c>
      <c r="D21" s="18" t="n">
        <v>0.15</v>
      </c>
      <c r="E21" s="18" t="n">
        <v>0</v>
      </c>
      <c r="F21" s="18" t="n">
        <v>0</v>
      </c>
      <c r="G21" s="18" t="n">
        <v>0</v>
      </c>
      <c r="H21" s="9"/>
    </row>
    <row r="22" customFormat="false" ht="18" hidden="false" customHeight="true" outlineLevel="0" collapsed="false">
      <c r="A22" s="53" t="s">
        <v>140</v>
      </c>
      <c r="B22" s="22" t="s">
        <v>84</v>
      </c>
      <c r="C22" s="18" t="n">
        <v>0.4</v>
      </c>
      <c r="D22" s="18" t="n">
        <v>0.25</v>
      </c>
      <c r="E22" s="18" t="n">
        <v>0.1</v>
      </c>
      <c r="F22" s="18" t="n">
        <v>0.05</v>
      </c>
      <c r="G22" s="18" t="n">
        <v>0</v>
      </c>
      <c r="H22" s="9" t="s">
        <v>428</v>
      </c>
    </row>
    <row r="23" customFormat="false" ht="18" hidden="false" customHeight="true" outlineLevel="0" collapsed="false">
      <c r="A23" s="53" t="s">
        <v>140</v>
      </c>
      <c r="B23" s="22" t="s">
        <v>86</v>
      </c>
      <c r="C23" s="18" t="n">
        <v>0.2</v>
      </c>
      <c r="D23" s="18" t="n">
        <v>0.34</v>
      </c>
      <c r="E23" s="18" t="n">
        <v>0.52</v>
      </c>
      <c r="F23" s="18" t="n">
        <v>0.56</v>
      </c>
      <c r="G23" s="18" t="n">
        <v>0.6</v>
      </c>
      <c r="H23" s="9"/>
    </row>
    <row r="24" customFormat="false" ht="18" hidden="false" customHeight="true" outlineLevel="0" collapsed="false">
      <c r="A24" s="53" t="s">
        <v>140</v>
      </c>
      <c r="B24" s="22" t="s">
        <v>306</v>
      </c>
      <c r="C24" s="18" t="n">
        <v>0.36</v>
      </c>
      <c r="D24" s="18" t="n">
        <v>0.37</v>
      </c>
      <c r="E24" s="18" t="n">
        <v>0.34</v>
      </c>
      <c r="F24" s="18" t="n">
        <v>0.35</v>
      </c>
      <c r="G24" s="18" t="n">
        <v>0.36</v>
      </c>
      <c r="H24" s="9"/>
    </row>
    <row r="25" customFormat="false" ht="18" hidden="false" customHeight="true" outlineLevel="0" collapsed="false">
      <c r="A25" s="53" t="s">
        <v>140</v>
      </c>
      <c r="B25" s="22" t="s">
        <v>88</v>
      </c>
      <c r="C25" s="18" t="n">
        <v>0.04</v>
      </c>
      <c r="D25" s="18" t="n">
        <v>0.04</v>
      </c>
      <c r="E25" s="18" t="n">
        <v>0.04</v>
      </c>
      <c r="F25" s="18" t="n">
        <v>0.04</v>
      </c>
      <c r="G25" s="18" t="n">
        <v>0.04</v>
      </c>
      <c r="H25" s="9"/>
    </row>
    <row r="26" customFormat="false" ht="18" hidden="false" customHeight="true" outlineLevel="0" collapsed="false">
      <c r="A26" s="53" t="s">
        <v>140</v>
      </c>
      <c r="B26" s="22" t="s">
        <v>313</v>
      </c>
      <c r="C26" s="18" t="n">
        <v>0.18</v>
      </c>
      <c r="D26" s="18" t="n">
        <v>0.12</v>
      </c>
      <c r="E26" s="18" t="n">
        <v>0.08</v>
      </c>
      <c r="F26" s="18" t="n">
        <v>0.08</v>
      </c>
      <c r="G26" s="18" t="n">
        <v>0.08</v>
      </c>
      <c r="H26" s="9"/>
    </row>
    <row r="27" customFormat="false" ht="18" hidden="false" customHeight="true" outlineLevel="0" collapsed="false">
      <c r="A27" s="53" t="s">
        <v>140</v>
      </c>
      <c r="B27" s="22" t="s">
        <v>311</v>
      </c>
      <c r="C27" s="18" t="n">
        <v>0</v>
      </c>
      <c r="D27" s="18" t="n">
        <v>0</v>
      </c>
      <c r="E27" s="18" t="n">
        <v>0.1</v>
      </c>
      <c r="F27" s="18" t="n">
        <v>0.05</v>
      </c>
      <c r="G27" s="18" t="n">
        <v>0</v>
      </c>
      <c r="H27" s="9"/>
    </row>
    <row r="28" customFormat="false" ht="18" hidden="false" customHeight="true" outlineLevel="0" collapsed="false">
      <c r="A28" s="53" t="s">
        <v>140</v>
      </c>
      <c r="B28" s="22" t="s">
        <v>426</v>
      </c>
      <c r="C28" s="25" t="n">
        <v>58</v>
      </c>
      <c r="D28" s="25" t="n">
        <v>58</v>
      </c>
      <c r="E28" s="25" t="n">
        <v>58</v>
      </c>
      <c r="F28" s="25" t="n">
        <v>58</v>
      </c>
      <c r="G28" s="25" t="n">
        <v>58</v>
      </c>
      <c r="H28" s="9"/>
    </row>
    <row r="29" customFormat="false" ht="18" hidden="false" customHeight="true" outlineLevel="0" collapsed="false">
      <c r="A29" s="53" t="s">
        <v>140</v>
      </c>
      <c r="B29" s="22" t="s">
        <v>157</v>
      </c>
      <c r="C29" s="18" t="n">
        <v>0.4</v>
      </c>
      <c r="D29" s="18" t="n">
        <v>0.25</v>
      </c>
      <c r="E29" s="18" t="n">
        <v>0.1</v>
      </c>
      <c r="F29" s="18" t="n">
        <v>0.05</v>
      </c>
      <c r="G29" s="18" t="n">
        <v>0</v>
      </c>
      <c r="H29" s="9"/>
    </row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>
      <c r="A32" s="4" t="s">
        <v>429</v>
      </c>
      <c r="B32" s="5"/>
      <c r="C32" s="5"/>
      <c r="D32" s="5"/>
      <c r="E32" s="5"/>
      <c r="F32" s="5"/>
      <c r="G32" s="5"/>
      <c r="H32" s="5"/>
    </row>
    <row r="33" customFormat="false" ht="18" hidden="false" customHeight="true" outlineLevel="0" collapsed="false">
      <c r="A33" s="6" t="s">
        <v>135</v>
      </c>
      <c r="B33" s="7" t="s">
        <v>430</v>
      </c>
      <c r="C33" s="7" t="s">
        <v>431</v>
      </c>
      <c r="D33" s="7" t="s">
        <v>432</v>
      </c>
      <c r="E33" s="7" t="s">
        <v>433</v>
      </c>
      <c r="F33" s="7" t="s">
        <v>434</v>
      </c>
      <c r="G33" s="6" t="s">
        <v>435</v>
      </c>
    </row>
    <row r="34" customFormat="false" ht="18" hidden="false" customHeight="true" outlineLevel="0" collapsed="false">
      <c r="A34" s="9" t="s">
        <v>137</v>
      </c>
      <c r="B34" s="9" t="s">
        <v>425</v>
      </c>
      <c r="C34" s="54" t="s">
        <v>436</v>
      </c>
      <c r="D34" s="55" t="n">
        <v>0</v>
      </c>
      <c r="E34" s="55" t="n">
        <v>0.12</v>
      </c>
      <c r="F34" s="54" t="s">
        <v>437</v>
      </c>
      <c r="G34" s="9" t="s">
        <v>438</v>
      </c>
    </row>
    <row r="35" customFormat="false" ht="18" hidden="false" customHeight="true" outlineLevel="0" collapsed="false">
      <c r="A35" s="9" t="s">
        <v>139</v>
      </c>
      <c r="B35" s="9" t="s">
        <v>427</v>
      </c>
      <c r="C35" s="54" t="s">
        <v>436</v>
      </c>
      <c r="D35" s="55" t="n">
        <v>0</v>
      </c>
      <c r="E35" s="55" t="n">
        <v>0.15</v>
      </c>
      <c r="F35" s="54" t="s">
        <v>437</v>
      </c>
      <c r="G35" s="9" t="s">
        <v>439</v>
      </c>
    </row>
    <row r="36" customFormat="false" ht="18" hidden="false" customHeight="true" outlineLevel="0" collapsed="false">
      <c r="A36" s="53" t="s">
        <v>140</v>
      </c>
      <c r="B36" s="53" t="s">
        <v>428</v>
      </c>
      <c r="C36" s="56" t="s">
        <v>437</v>
      </c>
      <c r="D36" s="57" t="n">
        <v>0.1</v>
      </c>
      <c r="E36" s="57" t="n">
        <v>0.08</v>
      </c>
      <c r="F36" s="56" t="s">
        <v>436</v>
      </c>
      <c r="G36" s="53" t="s">
        <v>440</v>
      </c>
    </row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>
      <c r="A40" s="4" t="s">
        <v>441</v>
      </c>
      <c r="B40" s="5"/>
      <c r="C40" s="5"/>
      <c r="D40" s="5"/>
      <c r="E40" s="5"/>
      <c r="F40" s="5"/>
      <c r="G40" s="5"/>
      <c r="H40" s="5"/>
    </row>
    <row r="41" customFormat="false" ht="18" hidden="false" customHeight="true" outlineLevel="0" collapsed="false">
      <c r="A41" s="6" t="s">
        <v>213</v>
      </c>
      <c r="B41" s="7" t="s">
        <v>92</v>
      </c>
      <c r="C41" s="7" t="s">
        <v>93</v>
      </c>
      <c r="D41" s="7" t="s">
        <v>94</v>
      </c>
      <c r="E41" s="7" t="s">
        <v>442</v>
      </c>
    </row>
    <row r="42" customFormat="false" ht="18" hidden="false" customHeight="true" outlineLevel="0" collapsed="false">
      <c r="A42" s="9" t="s">
        <v>443</v>
      </c>
      <c r="B42" s="28" t="n">
        <f aca="false">Assumptions!$D$79</f>
        <v>610</v>
      </c>
      <c r="C42" s="28" t="n">
        <f aca="false">Assumptions!$E$79</f>
        <v>600</v>
      </c>
      <c r="D42" s="28" t="n">
        <f aca="false">Assumptions!$F$79</f>
        <v>620</v>
      </c>
      <c r="E42" s="9" t="s">
        <v>444</v>
      </c>
    </row>
    <row r="43" customFormat="false" ht="18" hidden="false" customHeight="true" outlineLevel="0" collapsed="false">
      <c r="A43" s="9" t="s">
        <v>157</v>
      </c>
      <c r="B43" s="31" t="n">
        <f aca="false">Assumptions!$D$80</f>
        <v>0.4</v>
      </c>
      <c r="C43" s="31" t="n">
        <f aca="false">Assumptions!$E$80</f>
        <v>0.38</v>
      </c>
      <c r="D43" s="31" t="n">
        <f aca="false">Assumptions!$F$80</f>
        <v>0.42</v>
      </c>
      <c r="E43" s="9" t="s">
        <v>445</v>
      </c>
    </row>
    <row r="44" customFormat="false" ht="18" hidden="false" customHeight="true" outlineLevel="0" collapsed="false">
      <c r="A44" s="9" t="s">
        <v>446</v>
      </c>
      <c r="B44" s="30" t="n">
        <f aca="false">B42*B43</f>
        <v>244</v>
      </c>
      <c r="C44" s="30" t="n">
        <f aca="false">C42*C43</f>
        <v>228</v>
      </c>
      <c r="D44" s="30" t="n">
        <f aca="false">D42*D43</f>
        <v>260.4</v>
      </c>
      <c r="E44" s="9" t="s">
        <v>447</v>
      </c>
    </row>
    <row r="45" customFormat="false" ht="18" hidden="false" customHeight="true" outlineLevel="0" collapsed="false">
      <c r="A45" s="9" t="s">
        <v>172</v>
      </c>
      <c r="B45" s="58" t="n">
        <f aca="false">Assumptions!$D$87</f>
        <v>55</v>
      </c>
      <c r="C45" s="58" t="n">
        <f aca="false">Assumptions!$E$87</f>
        <v>45</v>
      </c>
      <c r="D45" s="58" t="n">
        <f aca="false">Assumptions!$F$87</f>
        <v>65</v>
      </c>
      <c r="E45" s="9" t="s">
        <v>448</v>
      </c>
    </row>
    <row r="46" customFormat="false" ht="18" hidden="false" customHeight="true" outlineLevel="0" collapsed="false">
      <c r="A46" s="9" t="s">
        <v>449</v>
      </c>
      <c r="B46" s="59" t="n">
        <f aca="false">B44*B45/1000</f>
        <v>13.42</v>
      </c>
      <c r="C46" s="59" t="n">
        <f aca="false">C44*C45/1000</f>
        <v>10.26</v>
      </c>
      <c r="D46" s="59" t="n">
        <f aca="false">D44*D45/1000</f>
        <v>16.926</v>
      </c>
      <c r="E46" s="9" t="s">
        <v>450</v>
      </c>
    </row>
    <row r="47" customFormat="false" ht="18" hidden="false" customHeight="true" outlineLevel="0" collapsed="false">
      <c r="A47" s="9" t="s">
        <v>451</v>
      </c>
      <c r="B47" s="28" t="n">
        <f aca="false">Assumptions!$D$88+Assumptions!$D$89</f>
        <v>21</v>
      </c>
      <c r="C47" s="28" t="n">
        <f aca="false">Assumptions!$E$88+Assumptions!$E$89</f>
        <v>16</v>
      </c>
      <c r="D47" s="28" t="n">
        <f aca="false">Assumptions!$F$88+Assumptions!$F$89</f>
        <v>30</v>
      </c>
      <c r="E47" s="9" t="s">
        <v>452</v>
      </c>
    </row>
    <row r="48" customFormat="false" ht="18" hidden="false" customHeight="true" outlineLevel="0" collapsed="false">
      <c r="A48" s="9" t="s">
        <v>453</v>
      </c>
      <c r="B48" s="58" t="n">
        <f aca="false">Assumptions!$D$100</f>
        <v>14</v>
      </c>
      <c r="C48" s="58" t="n">
        <f aca="false">Assumptions!$E$100</f>
        <v>10</v>
      </c>
      <c r="D48" s="58" t="n">
        <f aca="false">Assumptions!$F$100</f>
        <v>18</v>
      </c>
      <c r="E48" s="9" t="s">
        <v>454</v>
      </c>
    </row>
    <row r="49" customFormat="false" ht="18" hidden="false" customHeight="true" outlineLevel="0" collapsed="false">
      <c r="A49" s="9" t="s">
        <v>455</v>
      </c>
      <c r="B49" s="58" t="n">
        <f aca="false">Assumptions!$D$101</f>
        <v>3.5</v>
      </c>
      <c r="C49" s="58" t="n">
        <f aca="false">Assumptions!$E$101</f>
        <v>3</v>
      </c>
      <c r="D49" s="58" t="n">
        <f aca="false">Assumptions!$F$101</f>
        <v>4</v>
      </c>
      <c r="E49" s="9" t="s">
        <v>456</v>
      </c>
    </row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>
      <c r="A53" s="4" t="s">
        <v>457</v>
      </c>
      <c r="B53" s="5"/>
      <c r="C53" s="5"/>
      <c r="D53" s="5"/>
      <c r="E53" s="5"/>
      <c r="F53" s="5"/>
      <c r="G53" s="5"/>
      <c r="H53" s="5"/>
    </row>
    <row r="54" customFormat="false" ht="18" hidden="false" customHeight="true" outlineLevel="0" collapsed="false">
      <c r="A54" s="6" t="s">
        <v>385</v>
      </c>
      <c r="B54" s="7" t="s">
        <v>430</v>
      </c>
      <c r="C54" s="7" t="s">
        <v>458</v>
      </c>
      <c r="D54" s="7" t="s">
        <v>459</v>
      </c>
      <c r="E54" s="7" t="s">
        <v>460</v>
      </c>
      <c r="F54" s="7" t="s">
        <v>461</v>
      </c>
    </row>
    <row r="55" customFormat="false" ht="18" hidden="false" customHeight="true" outlineLevel="0" collapsed="false">
      <c r="A55" s="9" t="s">
        <v>462</v>
      </c>
      <c r="B55" s="9" t="s">
        <v>463</v>
      </c>
      <c r="C55" s="58" t="n">
        <f aca="false">Forecast!B89</f>
        <v>0.4598</v>
      </c>
      <c r="D55" s="58" t="n">
        <f aca="false">Forecast!B90</f>
        <v>0.3872</v>
      </c>
      <c r="E55" s="58" t="n">
        <f aca="false">Forecast!B91</f>
        <v>0.5324</v>
      </c>
      <c r="F55" s="9" t="s">
        <v>464</v>
      </c>
    </row>
    <row r="56" customFormat="false" ht="18" hidden="false" customHeight="true" outlineLevel="0" collapsed="false">
      <c r="A56" s="9" t="s">
        <v>465</v>
      </c>
      <c r="B56" s="9" t="s">
        <v>466</v>
      </c>
      <c r="C56" s="58" t="n">
        <f aca="false">Forecast!D93</f>
        <v>1.1673315</v>
      </c>
      <c r="D56" s="58" t="n">
        <f aca="false">Forecast!D94</f>
        <v>0.946485</v>
      </c>
      <c r="E56" s="58" t="n">
        <f aca="false">Forecast!D95</f>
        <v>1.388178</v>
      </c>
      <c r="F56" s="9" t="s">
        <v>467</v>
      </c>
    </row>
    <row r="57" customFormat="false" ht="18" hidden="false" customHeight="true" outlineLevel="0" collapsed="false">
      <c r="A57" s="9" t="s">
        <v>468</v>
      </c>
      <c r="B57" s="9" t="s">
        <v>469</v>
      </c>
      <c r="C57" s="58" t="n">
        <f aca="false">Forecast!D97</f>
        <v>0.5535</v>
      </c>
      <c r="D57" s="58" t="n">
        <f aca="false">Forecast!D98</f>
        <v>0.29889</v>
      </c>
      <c r="E57" s="58" t="n">
        <f aca="false">Forecast!D99</f>
        <v>0.85239</v>
      </c>
      <c r="F57" s="9" t="s">
        <v>470</v>
      </c>
    </row>
    <row r="58" customFormat="false" ht="18" hidden="false" customHeight="true" outlineLevel="0" collapsed="false">
      <c r="A58" s="9" t="s">
        <v>471</v>
      </c>
      <c r="B58" s="9" t="s">
        <v>472</v>
      </c>
      <c r="C58" s="58" t="n">
        <f aca="false">Assumptions!$D$99</f>
        <v>1</v>
      </c>
      <c r="D58" s="58" t="n">
        <f aca="false">Assumptions!$E$99</f>
        <v>0.5</v>
      </c>
      <c r="E58" s="58" t="n">
        <f aca="false">Assumptions!$F$99</f>
        <v>1.5</v>
      </c>
      <c r="F58" s="9" t="s">
        <v>473</v>
      </c>
    </row>
    <row r="59" customFormat="false" ht="18" hidden="false" customHeight="true" outlineLevel="0" collapsed="false">
      <c r="A59" s="9" t="s">
        <v>474</v>
      </c>
      <c r="B59" s="9" t="s">
        <v>475</v>
      </c>
      <c r="C59" s="60" t="s">
        <v>476</v>
      </c>
      <c r="D59" s="60" t="s">
        <v>477</v>
      </c>
      <c r="E59" s="60" t="s">
        <v>478</v>
      </c>
      <c r="F59" s="9" t="s">
        <v>479</v>
      </c>
    </row>
  </sheetData>
  <autoFilter ref="A5:H29"/>
  <printOptions headings="false" gridLines="false" gridLinesSet="true" horizontalCentered="false" verticalCentered="false"/>
  <pageMargins left="0.25" right="0.2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2026-05-08T00:00:00Z</dcterms:created>
  <dc:creator>Halberd Capital Partners / AI agent</dc:creator>
  <dc:description/>
  <dc:language>en-US</dc:language>
  <cp:lastModifiedBy/>
  <dcterms:modified xsi:type="dcterms:W3CDTF">2026-06-18T12:36:58Z</dcterms:modified>
  <cp:revision>0</cp:revision>
  <dc:subject>Preliminary outside-in market sizing, forecast and cage-free transition model</dc:subject>
  <dc:title>Project Albatross - NZ Egg Market Model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