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Legend" sheetId="2" state="visible" r:id="rId4"/>
    <sheet name="Assumptions" sheetId="3" state="visible" r:id="rId5"/>
    <sheet name="Market_Sizing" sheetId="4" state="visible" r:id="rId6"/>
    <sheet name="Forecast" sheetId="5" state="visible" r:id="rId7"/>
    <sheet name="Transition" sheetId="6" state="visible" r:id="rId8"/>
    <sheet name="Sensitivities" sheetId="7" state="visible" r:id="rId9"/>
    <sheet name="Aurora" sheetId="8" state="visible" r:id="rId10"/>
    <sheet name="Profit_Pool" sheetId="9" state="visible" r:id="rId11"/>
    <sheet name="Open_Question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<sst xmlns="http://schemas.openxmlformats.org/spreadsheetml/2006/main" count="1442" uniqueCount="999">
  <si>
    <t xml:space="preserve">Halberd Capital Partners  |  Project Albatross</t>
  </si>
  <si>
    <t xml:space="preserve">NZ Shell-Egg Market Model — Aurora Eggs Ltd</t>
  </si>
  <si>
    <t xml:space="preserve">Preliminary outside-in commercial due diligence  |  Pre-LOI / indicative-bid prep  |  Working model — refresh as diligence arrives</t>
  </si>
  <si>
    <t xml:space="preserve">Purpose</t>
  </si>
  <si>
    <t xml:space="preserve">Quantitative foundation for the deal team: historical market size (3 yrs), 5-yr forecast, cage-ban transition scenarios for the colony cohort by end-2027, Aurora flock data, consumer-demand sensitivity, and the cost-side / supply-side sensitivities that bear on the underwriting horizon.</t>
  </si>
  <si>
    <t xml:space="preserve">Stage discipline</t>
  </si>
  <si>
    <t xml:space="preserve">Preliminary outside-in DD (pre-LOI). Built from public sources, expert interviews, sell-side IM, scan data. No data-room access, no audited financials. Findings, risks and open questions carry equal weight. NO invest / pass / continue-diligence verdict — the IC owns the verdict; the deal team owns the evidentiary surface.</t>
  </si>
  <si>
    <t xml:space="preserve">Currency convention</t>
  </si>
  <si>
    <t xml:space="preserve">Headline figures in USD (Halberd reporting convention). FX from the central financial assumptions workbook (FY22-25 historical; FY26-30 forecast — applied by year, not flat spot). NZD shown side-by-side as native reference only.</t>
  </si>
  <si>
    <t xml:space="preserve">Refreshability</t>
  </si>
  <si>
    <t xml:space="preserve">All hardcoded inputs live on the Assumptions tab with source + vintage. Update an input there and the model recalculates. Untraceable inputs are flagged 'vintage TBC'.</t>
  </si>
  <si>
    <t xml:space="preserve">Reconciliation</t>
  </si>
  <si>
    <t xml:space="preserve">Top-down (retail) vs bottom-up (all-channel production) surfaced and explained, not hidden. The residual gap = foodservice + industrial + institutional/own-use + direct (Calthorpe P3).</t>
  </si>
  <si>
    <t xml:space="preserve">Scenarios</t>
  </si>
  <si>
    <t xml:space="preserve">≥3 named transition scenarios (On-Time / Capacity-Gap / Premium-Collapse) with driver, consequence, breakeven. Supply-driven scenarios model the price response (no flat prices).</t>
  </si>
  <si>
    <t xml:space="preserve">Sensitivities</t>
  </si>
  <si>
    <t xml:space="preserve">Mandatory tables: FX, free-range price-tier trajectory, conversion timing (3 scenarios + breakeven each), plus cost-side (feed grain, electricity) and supply-side (DOC delay, HPAI) sensitivities.</t>
  </si>
  <si>
    <t xml:space="preserve">Tab index</t>
  </si>
  <si>
    <t xml:space="preserve">Tab</t>
  </si>
  <si>
    <t xml:space="preserve">Contents</t>
  </si>
  <si>
    <t xml:space="preserve">Cover</t>
  </si>
  <si>
    <t xml:space="preserve">This page</t>
  </si>
  <si>
    <t xml:space="preserve">Legend</t>
  </si>
  <si>
    <t xml:space="preserve">Cell-type visual convention</t>
  </si>
  <si>
    <t xml:space="preserve">Assumptions</t>
  </si>
  <si>
    <t xml:space="preserve">All hardcoded inputs — source + vintage (refresh here)</t>
  </si>
  <si>
    <t xml:space="preserve">Market_Sizing</t>
  </si>
  <si>
    <t xml:space="preserve">Top-down (retail) + bottom-up (all-channel) + reconciliation; historical 3yr &amp; forecast</t>
  </si>
  <si>
    <t xml:space="preserve">Forecast</t>
  </si>
  <si>
    <t xml:space="preserve">5-yr forecast by channel × production system; consumer-demand sensitivity</t>
  </si>
  <si>
    <t xml:space="preserve">Transition</t>
  </si>
  <si>
    <t xml:space="preserve">Colony-cohort cage-ban transition scenarios to end-2027 (≥3)</t>
  </si>
  <si>
    <t xml:space="preserve">FX / price-tier / conversion-timing tables + cost &amp; supply-side sensitivities</t>
  </si>
  <si>
    <t xml:space="preserve">Aurora</t>
  </si>
  <si>
    <t xml:space="preserve">Aurora flock, mix, financials, volume share, capex, EBITDA bridge</t>
  </si>
  <si>
    <t xml:space="preserve">Profit_Pool</t>
  </si>
  <si>
    <t xml:space="preserve">Retail value-chain profit-pool allocation (Tier 1-4)</t>
  </si>
  <si>
    <t xml:space="preserve">Open_Questions</t>
  </si>
  <si>
    <t xml:space="preserve">Contested data points &amp; confirmatory-DD open questions</t>
  </si>
  <si>
    <t xml:space="preserve">Legend — Cell-Type Visual Convention (Halberd analytical standards §10)</t>
  </si>
  <si>
    <t xml:space="preserve">≥4 cell categories, applied consistently across every tab. A reviewer can read the model without coaching.</t>
  </si>
  <si>
    <t xml:space="preserve">Category</t>
  </si>
  <si>
    <t xml:space="preserve">Treatment</t>
  </si>
  <si>
    <t xml:space="preserve">Meaning</t>
  </si>
  <si>
    <t xml:space="preserve">Example</t>
  </si>
  <si>
    <t xml:space="preserve">Input (hardcoded)</t>
  </si>
  <si>
    <t xml:space="preserve">Blue font on light-blue fill</t>
  </si>
  <si>
    <t xml:space="preserve">A hardcoded assumption / input value. Edit these on the Assumptions tab to refresh the model.</t>
  </si>
  <si>
    <t xml:space="preserve">5.22</t>
  </si>
  <si>
    <t xml:space="preserve">Calculation (same-tab)</t>
  </si>
  <si>
    <t xml:space="preserve">Black font, no fill</t>
  </si>
  <si>
    <t xml:space="preserve">A formula referencing cells on the SAME tab.</t>
  </si>
  <si>
    <t xml:space="preserve">B6*B7</t>
  </si>
  <si>
    <t xml:space="preserve">Cross-tab reference</t>
  </si>
  <si>
    <t xml:space="preserve">Green font, no fill</t>
  </si>
  <si>
    <t xml:space="preserve">A formula referencing a cell on ANOTHER tab (e.g. pulls an input from Assumptions).</t>
  </si>
  <si>
    <t xml:space="preserve">Assumptions!B6</t>
  </si>
  <si>
    <t xml:space="preserve">Headline / KPI output</t>
  </si>
  <si>
    <t xml:space="preserve">Bold white font on dark-blue fill</t>
  </si>
  <si>
    <t xml:space="preserve">A key output / KPI the reader is meant to land on.</t>
  </si>
  <si>
    <t xml:space="preserve">$459M</t>
  </si>
  <si>
    <t xml:space="preserve">Section header</t>
  </si>
  <si>
    <t xml:space="preserve">White bold on dark-blue bar</t>
  </si>
  <si>
    <t xml:space="preserve">Section divider.</t>
  </si>
  <si>
    <t xml:space="preserve">A. Macro</t>
  </si>
  <si>
    <t xml:space="preserve">Table header</t>
  </si>
  <si>
    <t xml:space="preserve">Bold on light grey</t>
  </si>
  <si>
    <t xml:space="preserve">Column header row.</t>
  </si>
  <si>
    <t xml:space="preserve">FY24A</t>
  </si>
  <si>
    <t xml:space="preserve">Source / note</t>
  </si>
  <si>
    <t xml:space="preserve">Grey italic</t>
  </si>
  <si>
    <t xml:space="preserve">Source attribution, vintage, or narrative note.</t>
  </si>
  <si>
    <t xml:space="preserve">ACII Wave 11</t>
  </si>
  <si>
    <t xml:space="preserve">Flagged input</t>
  </si>
  <si>
    <t xml:space="preserve">Blue font on amber fill</t>
  </si>
  <si>
    <t xml:space="preserve">Contested across sources OR management-claimed / unverified — needs confirmatory validation.</t>
  </si>
  <si>
    <t xml:space="preserve">1.75%</t>
  </si>
  <si>
    <t xml:space="preserve">Source attribution &amp; vintage: every hardcoded input on the Assumptions tab carries a named source and a date/vintage. Inputs lacking a date are flagged 'vintage TBC'. This is non-negotiable for a working model on the Halberd shared drive.</t>
  </si>
  <si>
    <t xml:space="preserve">Assumptions &amp; Inputs  —  NZ Shell-Egg Market Model (Aurora Eggs)</t>
  </si>
  <si>
    <t xml:space="preserve">Halberd Capital Partners | Project Albatross | Preliminary outside-in CDD | Pre-LOI. Every input carries source + vintage so the deal team can refresh as diligence arrives. Flagged (amber) inputs are contested across sources or management-claimed/unverified.</t>
  </si>
  <si>
    <t xml:space="preserve">A.  Macro inputs — FX, WACC, inflation  (Halberd central financial assumptions workbook)</t>
  </si>
  <si>
    <t xml:space="preserve">Parameter</t>
  </si>
  <si>
    <t xml:space="preserve">FY22A</t>
  </si>
  <si>
    <t xml:space="preserve">FY23A</t>
  </si>
  <si>
    <t xml:space="preserve">FY25E</t>
  </si>
  <si>
    <t xml:space="preserve">FY26E</t>
  </si>
  <si>
    <t xml:space="preserve">FY27E</t>
  </si>
  <si>
    <t xml:space="preserve">FY28E</t>
  </si>
  <si>
    <t xml:space="preserve">FY29E</t>
  </si>
  <si>
    <t xml:space="preserve">FY30E</t>
  </si>
  <si>
    <t xml:space="preserve">Source</t>
  </si>
  <si>
    <t xml:space="preserve">Vintage</t>
  </si>
  <si>
    <t xml:space="preserve">Notes</t>
  </si>
  <si>
    <t xml:space="preserve">FX rate (USD per 1 NZD)</t>
  </si>
  <si>
    <t xml:space="preserve">Halberd central financial assumptions — FX_Rates_Historical (FY22-25) &amp; FX_Rates_Forecast (FY26-31)</t>
  </si>
  <si>
    <t xml:space="preserve">Apr 2026</t>
  </si>
  <si>
    <t xml:space="preserve">Apply forecast rate by year for multi-year cash flows; do not use flat spot.</t>
  </si>
  <si>
    <t xml:space="preserve">NZ WACC (regional hurdle)</t>
  </si>
  <si>
    <t xml:space="preserve">x</t>
  </si>
  <si>
    <t xml:space="preserve">Halberd central financial assumptions — WACC_by_Region (New Zealand)</t>
  </si>
  <si>
    <t xml:space="preserve">Apply ±50bps sub-sector risk premium where judgment supports.</t>
  </si>
  <si>
    <t xml:space="preserve">NZ CPI forecast (annual)</t>
  </si>
  <si>
    <t xml:space="preserve">pa</t>
  </si>
  <si>
    <t xml:space="preserve">Halberd central financial assumptions — Inflation_Forecast (New Zealand)</t>
  </si>
  <si>
    <t xml:space="preserve">Use for real-vs-nominal translation in long-dated (&gt;3yr) forecasts.</t>
  </si>
  <si>
    <t xml:space="preserve">B.  Demographics — population (Treasury / Stats NZ baseline)</t>
  </si>
  <si>
    <t xml:space="preserve">NZ population, FY24 base</t>
  </si>
  <si>
    <t xml:space="preserve">M</t>
  </si>
  <si>
    <t xml:space="preserve">Antipodean Agri Research NZ Eggs briefing 2025-09 (OCR): 'population 5.22M, NZ Treasury 2024 demographics'</t>
  </si>
  <si>
    <t xml:space="preserve">Mar 2025</t>
  </si>
  <si>
    <t xml:space="preserve">Top-down sizing anchor.</t>
  </si>
  <si>
    <t xml:space="preserve">Population growth, pa</t>
  </si>
  <si>
    <t xml:space="preserve">Aurora IM S3 (~0.9% pa); Stats NZ median projection</t>
  </si>
  <si>
    <t xml:space="preserve">Feb 2026</t>
  </si>
  <si>
    <t xml:space="preserve">Consistent with Stats NZ median; USDA cross-check 5.3M (2023).</t>
  </si>
  <si>
    <t xml:space="preserve">Population cross-check (USDA)</t>
  </si>
  <si>
    <t xml:space="preserve">USDA FAS NZ Retail Foods Annual 2024 — 'Population (millions): 5.3'</t>
  </si>
  <si>
    <t xml:space="preserve">2024</t>
  </si>
  <si>
    <t xml:space="preserve">Directional cross-check only; analyst/Treasury anchor used for build.</t>
  </si>
  <si>
    <t xml:space="preserve">C.  Per-capita egg consumption (ACII Wave 11 / EPFNZ)</t>
  </si>
  <si>
    <t xml:space="preserve">Per-capita consumption, FY24 base</t>
  </si>
  <si>
    <t xml:space="preserve">eggs/p/yr</t>
  </si>
  <si>
    <t xml:space="preserve">ACII Wave 11 Egg Addendum (national weighted 229); EPFNZ 229 (analyst briefing)</t>
  </si>
  <si>
    <t xml:space="preserve">Mar 2026</t>
  </si>
  <si>
    <t xml:space="preserve">Field Sep-Oct 2025.</t>
  </si>
  <si>
    <t xml:space="preserve">Per-capita growth — dietary-mix shift</t>
  </si>
  <si>
    <t xml:space="preserve">ACII Wave 11 main vol + Calthorpe P5 (0.4-0.5% pa)</t>
  </si>
  <si>
    <t xml:space="preserve">Flexitarian 21.4% (Wave 7 14.3%); eggs net beneficiary.</t>
  </si>
  <si>
    <t xml:space="preserve">Per-capita growth — demographic-cuisine</t>
  </si>
  <si>
    <t xml:space="preserve">ACII Wave 11 Egg Addendum sec 3 (0.2-0.3% pa)</t>
  </si>
  <si>
    <t xml:space="preserve">Asian-NZ 268 eggs (+17%); rising 17%-&gt;22-24% by 2038.</t>
  </si>
  <si>
    <t xml:space="preserve">Per-capita growth — total (derived)</t>
  </si>
  <si>
    <t xml:space="preserve">Derived (dietary-mix + demographic-cuisine)</t>
  </si>
  <si>
    <t xml:space="preserve">—</t>
  </si>
  <si>
    <t xml:space="preserve">≈ +0.6-0.8% pa survey read.</t>
  </si>
  <si>
    <t xml:space="preserve">Per-capita growth — IM management claim</t>
  </si>
  <si>
    <t xml:space="preserve">Aurora IM S3 (1.5-2.0% pa protein-substitution)</t>
  </si>
  <si>
    <t xml:space="preserve">Contested: ~2-3x the ACII survey read (+0.6-0.8%).</t>
  </si>
  <si>
    <t xml:space="preserve">D.  National layer flock &amp; production physics</t>
  </si>
  <si>
    <t xml:space="preserve">National flock — official (MPI/NAWAC)</t>
  </si>
  <si>
    <t xml:space="preserve">M hens</t>
  </si>
  <si>
    <t xml:space="preserve">EPFNZ interview; Antipodean briefing (Dec 2022 NAWAC layer-hen survey, 3.4-3.5M)</t>
  </si>
  <si>
    <t xml:space="preserve">Dec 2022</t>
  </si>
  <si>
    <t xml:space="preserve">Stale public stat; not refreshed since 2022 census.</t>
  </si>
  <si>
    <t xml:space="preserve">National flock — bottom-up (producer)</t>
  </si>
  <si>
    <t xml:space="preserve">Calthorpe P1/P3 (3.7-3.8M); Hartley Pearce competitor overview (~3.75M)</t>
  </si>
  <si>
    <t xml:space="preserve">Higher than official; reflects Phase-2 additions not yet in public stats.</t>
  </si>
  <si>
    <t xml:space="preserve">Lay rate (eggs / layer / yr)</t>
  </si>
  <si>
    <t xml:space="preserve">eggs</t>
  </si>
  <si>
    <t xml:space="preserve">Calthorpe P3; EPFNZ (295-300); Calder (~300 laying / ~280 calendar)</t>
  </si>
  <si>
    <t xml:space="preserve">Colony upper (295-310), FR lower (285-295), barn mid.</t>
  </si>
  <si>
    <t xml:space="preserve">Flock utilisation</t>
  </si>
  <si>
    <t xml:space="preserve">%</t>
  </si>
  <si>
    <t xml:space="preserve">Calthorpe P3 (90% utilisation, cage-free &amp; colony)</t>
  </si>
  <si>
    <t xml:space="preserve">Applied to lay rate for saleable dozens.</t>
  </si>
  <si>
    <t xml:space="preserve">E.  Production-system mix (% of flock) — colony / barn / free-range</t>
  </si>
  <si>
    <t xml:space="preserve">Colony share (base-case path)</t>
  </si>
  <si>
    <t xml:space="preserve">NAWAC/EPFNZ Dec 2022 (33%); Calthorpe P1 / Antipodean current 40%; forward = managed conversion (colony-&gt;barn/FR by end-2027)</t>
  </si>
  <si>
    <t xml:space="preserve">Dec 2022 / Mar 2026</t>
  </si>
  <si>
    <t xml:space="preserve">Base case (Managed Conversion). FY25 40% contested: 'colony compressed' yet 40% — see Open Questions.</t>
  </si>
  <si>
    <t xml:space="preserve">Barn share (base-case path)</t>
  </si>
  <si>
    <t xml:space="preserve">NAWAC/EPFNZ Dec 2022 (33%); Calthorpe current 20%; forward = barn absorbs ~2/3 of colony conversion</t>
  </si>
  <si>
    <t xml:space="preserve">Contested vs 'barn came up some' narrative (current 20%).</t>
  </si>
  <si>
    <t xml:space="preserve">Free-range share (base-case path)</t>
  </si>
  <si>
    <t xml:space="preserve">NAWAC/EPFNZ Dec 2022 (34%); Calthorpe current 40%; forward = FR absorbs ~1/3 of colony conversion</t>
  </si>
  <si>
    <t xml:space="preserve">Free-range now largest segment; premium/pasture is sub-segment.</t>
  </si>
  <si>
    <t xml:space="preserve">F.  Channel mix (% of total volume, all-channel)</t>
  </si>
  <si>
    <t xml:space="preserve">Retail grocery</t>
  </si>
  <si>
    <t xml:space="preserve">Calthorpe P1 (70-75%); EPFNZ (70-75%)</t>
  </si>
  <si>
    <t xml:space="preserve">Foodstuffs + Woolworths NZ duopoly ~70-80% of grocery.</t>
  </si>
  <si>
    <t xml:space="preserve">Foodservice</t>
  </si>
  <si>
    <t xml:space="preserve">Calthorpe P1/P3 (12-15%)</t>
  </si>
  <si>
    <t xml:space="preserve">Cafes/hotels/QSR; Bidfood/Gilmours/Service Foods distribute.</t>
  </si>
  <si>
    <t xml:space="preserve">Industrial / processor</t>
  </si>
  <si>
    <t xml:space="preserve">Calthorpe P3 (8-10%); analytical standards (ind gate 30-45% below retail wholesale)</t>
  </si>
  <si>
    <t xml:space="preserve">Bakeries, mayo, ready-meals; bulk/liquid.</t>
  </si>
  <si>
    <t xml:space="preserve">Institutional / own-use</t>
  </si>
  <si>
    <t xml:space="preserve">Calthorpe P3 (4-6%); never touches a retail price point</t>
  </si>
  <si>
    <t xml:space="preserve">Schools, prisons, hospitals, defence, farm own-use.</t>
  </si>
  <si>
    <t xml:space="preserve">Direct / DTC</t>
  </si>
  <si>
    <t xml:space="preserve">Calthorpe P1 (2-3%); analytical standards (40-60% above retail shelf)</t>
  </si>
  <si>
    <t xml:space="preserve">Farmgate, markets, subscriptions; premium-priced.</t>
  </si>
  <si>
    <t xml:space="preserve">  Channel mix sum (check =100%)</t>
  </si>
  <si>
    <t xml:space="preserve">G.  Channel &amp; tier pricing (NZ$ per dozen) — transaction / gate evidence</t>
  </si>
  <si>
    <t xml:space="preserve">Retail shelf — free-range</t>
  </si>
  <si>
    <t xml:space="preserve">NZ$/doz</t>
  </si>
  <si>
    <t xml:space="preserve">Calthorpe P4 (FR retails NZ$8.50); scan data Q1 2026 (Pak'nSave/NW/Countdown FR 8.79-13.79)</t>
  </si>
  <si>
    <t xml:space="preserve">Mar 2026 / Q1 2026</t>
  </si>
  <si>
    <t xml:space="preserve">Shelf (consumer-facing).</t>
  </si>
  <si>
    <t xml:space="preserve">Retail shelf — barn</t>
  </si>
  <si>
    <t xml:space="preserve">Calthorpe P4 (barn ~NZ$7.00); scan data (7.59-8.19)</t>
  </si>
  <si>
    <t xml:space="preserve">Retail shelf — colony</t>
  </si>
  <si>
    <t xml:space="preserve">Calthorpe P4 (colony ~NZ$5.60); scan data (6.69-6.99)</t>
  </si>
  <si>
    <t xml:space="preserve">Countdown phasing colony out end-Q2 2026.</t>
  </si>
  <si>
    <t xml:space="preserve">Retail shelf — pasture/premium</t>
  </si>
  <si>
    <t xml:space="preserve">Scan data Q1 2026 (pasture-raised 13.49-14.99); Calthorpe P4</t>
  </si>
  <si>
    <t xml:space="preserve">Q1 2026</t>
  </si>
  <si>
    <t xml:space="preserve">Distinct premium tier, separate economics.</t>
  </si>
  <si>
    <t xml:space="preserve">Retail wholesale gate — free-range</t>
  </si>
  <si>
    <t xml:space="preserve">Calthorpe P4 (FR gate NZ$5.20-5.60, mid 5.40) — transaction price</t>
  </si>
  <si>
    <t xml:space="preserve">Vivian Hypothesis 1: transaction-price evidence.</t>
  </si>
  <si>
    <t xml:space="preserve">Retail wholesale gate — barn</t>
  </si>
  <si>
    <t xml:space="preserve">Calthorpe P4 (barn gate NZ$4.40-4.60)</t>
  </si>
  <si>
    <t xml:space="preserve">Retail wholesale gate — colony</t>
  </si>
  <si>
    <t xml:space="preserve">Calthorpe P4 (colony gate NZ$3.30-3.50)</t>
  </si>
  <si>
    <t xml:space="preserve">Colony = thinnest $/dozen EBITDA tier.</t>
  </si>
  <si>
    <t xml:space="preserve">Retail wholesale gate — premium</t>
  </si>
  <si>
    <t xml:space="preserve">Calthorpe P4 implied; scan-data premium shelf ÷ markup</t>
  </si>
  <si>
    <t xml:space="preserve">Foodservice gate (barn-equiv)</t>
  </si>
  <si>
    <t xml:space="preserve">Calthorpe P4 (barn into foodservice NZ$3.80-4.20); ~10-15% below retail wholesale</t>
  </si>
  <si>
    <t xml:space="preserve">Analytical standards: FS gate 10-15% below retail wholesale.</t>
  </si>
  <si>
    <t xml:space="preserve">Industrial / processor gate</t>
  </si>
  <si>
    <t xml:space="preserve">Analytical standards (industrial 30-45% below retail wholesale); Calthorpe P4</t>
  </si>
  <si>
    <t xml:space="preserve">Bulk/liquid egg; lowest gate.</t>
  </si>
  <si>
    <t xml:space="preserve">Direct / DTC gate</t>
  </si>
  <si>
    <t xml:space="preserve">Analytical standards (DTC 40-60% above retail shelf)</t>
  </si>
  <si>
    <t xml:space="preserve">Premium direct.</t>
  </si>
  <si>
    <t xml:space="preserve">Foodservice distributor margin</t>
  </si>
  <si>
    <t xml:space="preserve">Calthorpe P4 (wholesaler +12-18% on gate)</t>
  </si>
  <si>
    <t xml:space="preserve">Bidfood/Gilmours/Service Foods.</t>
  </si>
  <si>
    <t xml:space="preserve">Retailer gross-margin anchor</t>
  </si>
  <si>
    <t xml:space="preserve">Analytical standards (retailer GM 25-35%; markup 1.33-1.54)</t>
  </si>
  <si>
    <t xml:space="preserve">Q2 2024</t>
  </si>
  <si>
    <t xml:space="preserve">Calthorpe P4 gross margin ~36-39% (slightly above anchor) — see Profit Pool.</t>
  </si>
  <si>
    <t xml:space="preserve">H.  Free-range premium over barn (wholesale gate, %) — contested</t>
  </si>
  <si>
    <t xml:space="preserve">FR premium over barn (gate)</t>
  </si>
  <si>
    <t xml:space="preserve">EPFNZ (historical ~30%, compressing); Calthorpe P5 (18-&gt;14-&gt;12 across FY26-28)</t>
  </si>
  <si>
    <t xml:space="preserve">Contested vs IM claim of 30%+ sustained. Vivian Hypothesis 1.</t>
  </si>
  <si>
    <t xml:space="preserve">FR premium — IM management claim</t>
  </si>
  <si>
    <t xml:space="preserve">Aurora IM S4 ('30%+ over past decade, expected to remain at/above')</t>
  </si>
  <si>
    <t xml:space="preserve">Contested: survey+expert show compression to ~12% by FY28.</t>
  </si>
  <si>
    <t xml:space="preserve">I.  Consumer-demand sensitivity (ACII Wave 11 / Calthorpe P5)</t>
  </si>
  <si>
    <t xml:space="preserve">Plant-based egg share (current)</t>
  </si>
  <si>
    <t xml:space="preserve">ACII Wave 11 Egg Addendum sec 1 (&lt;1% nationally)</t>
  </si>
  <si>
    <t xml:space="preserve">Specialty/free-from channel only.</t>
  </si>
  <si>
    <t xml:space="preserve">Plant-based displacement (FY28-30)</t>
  </si>
  <si>
    <t xml:space="preserve">ACII/Calthorpe P5 (1.5-2.5% of national shell-egg volume)</t>
  </si>
  <si>
    <t xml:space="preserve">Contingent on mainstream retailer ranging chilled PB egg.</t>
  </si>
  <si>
    <t xml:space="preserve">FR trade-down under budget pressure</t>
  </si>
  <si>
    <t xml:space="preserve">ACII Egg Addendum sec 2 + Calthorpe P5 (20-25% of FR buyers)</t>
  </si>
  <si>
    <t xml:space="preserve">Commodity FR exposed; specialty (pasture/omega-3) 4-9%.</t>
  </si>
  <si>
    <t xml:space="preserve">Specialty premium trade-down</t>
  </si>
  <si>
    <t xml:space="preserve">ACII Egg Addendum sec 4 (4-9% switch)</t>
  </si>
  <si>
    <t xml:space="preserve">Income-skewed; durable.</t>
  </si>
  <si>
    <t xml:space="preserve">J.  NZ producer cost structure (% of net sales; &gt;250k birds, FY23-24)</t>
  </si>
  <si>
    <t xml:space="preserve">Feed (% of cash cost)</t>
  </si>
  <si>
    <t xml:space="preserve">Pacific Agri Advisory NZ Shell-Egg Sector Briefing FY24 sec 3 (60-65% of cash cost)</t>
  </si>
  <si>
    <t xml:space="preserve">Oct 2024</t>
  </si>
  <si>
    <t xml:space="preserve">Largest line; vertical-integration target.</t>
  </si>
  <si>
    <t xml:space="preserve">Labour (% net sales)</t>
  </si>
  <si>
    <t xml:space="preserve">Pacific Agri briefing (8-12%)</t>
  </si>
  <si>
    <t xml:space="preserve">Automation lever; OEE 65-70% mid-pack vs 80%+ top.</t>
  </si>
  <si>
    <t xml:space="preserve">Packaging (% net sales)</t>
  </si>
  <si>
    <t xml:space="preserve">Pacific Agri briefing (4-6%)</t>
  </si>
  <si>
    <t xml:space="preserve">Procurement lever; Huhtamaki Otahuhu concentrated.</t>
  </si>
  <si>
    <t xml:space="preserve">Distribution / freight (% net sales)</t>
  </si>
  <si>
    <t xml:space="preserve">Pacific Agri briefing (6-8%)</t>
  </si>
  <si>
    <t xml:space="preserve">Route consolidation, depot footprint.</t>
  </si>
  <si>
    <t xml:space="preserve">Depreciation (% net sales)</t>
  </si>
  <si>
    <t xml:space="preserve">Capex-amortisation; rises post-Phase-2 build.</t>
  </si>
  <si>
    <t xml:space="preserve">Sales / marketing (% net sales)</t>
  </si>
  <si>
    <t xml:space="preserve">Pacific Agri briefing (1-3%)</t>
  </si>
  <si>
    <t xml:space="preserve">Low-marketing category.</t>
  </si>
  <si>
    <t xml:space="preserve">Other overhead / G&amp;A (% net sales)</t>
  </si>
  <si>
    <t xml:space="preserve">Pacific Agri briefing (8-10%)</t>
  </si>
  <si>
    <t xml:space="preserve">EBITDA margin — benchmark low</t>
  </si>
  <si>
    <t xml:space="preserve">Pacific Agri briefing (8-15%, most 10-12%)</t>
  </si>
  <si>
    <t xml:space="preserve">Aurora adj 14.9% &gt;13% triggers addback scrutiny.</t>
  </si>
  <si>
    <t xml:space="preserve">EBITDA margin — benchmark high</t>
  </si>
  <si>
    <t xml:space="preserve">Pacific Agri briefing</t>
  </si>
  <si>
    <t xml:space="preserve">EBITDA margin — cluster</t>
  </si>
  <si>
    <t xml:space="preserve">Pacific Agri briefing (most 10-12%)</t>
  </si>
  <si>
    <t xml:space="preserve">Aurora reported 12.8% sits here; adj 14.9% above.</t>
  </si>
  <si>
    <t xml:space="preserve">K.  Input-cost &amp; supply-side sensitivities (Calthorpe P7)</t>
  </si>
  <si>
    <t xml:space="preserve">Feed (% of variable cost / doz)</t>
  </si>
  <si>
    <t xml:space="preserve">Calthorpe P7 (55-65% of variable cost per dozen)</t>
  </si>
  <si>
    <t xml:space="preserve">Aurora NZ$1.85-2.10/doz FY24.</t>
  </si>
  <si>
    <t xml:space="preserve">Aurora feed cost / doz (low)</t>
  </si>
  <si>
    <t xml:space="preserve">Calthorpe P7</t>
  </si>
  <si>
    <t xml:space="preserve">Aurora feed cost / doz (high)</t>
  </si>
  <si>
    <t xml:space="preserve">Feed pass-through lag</t>
  </si>
  <si>
    <t xml:space="preserve">months/12</t>
  </si>
  <si>
    <t xml:space="preserve">Calthorpe P7 (4-6 month lag via retailer contract windows)</t>
  </si>
  <si>
    <t xml:space="preserve">10% grain spike -&gt; 80-110 bps gross-margin hit 1-2 qtrs.</t>
  </si>
  <si>
    <t xml:space="preserve">Grain spike margin impact (10% spike)</t>
  </si>
  <si>
    <t xml:space="preserve">bps/100</t>
  </si>
  <si>
    <t xml:space="preserve">Calthorpe P7 (80-110 bps)</t>
  </si>
  <si>
    <t xml:space="preserve">Per quarter or two before pass-through.</t>
  </si>
  <si>
    <t xml:space="preserve">Electricity (% variable cost)</t>
  </si>
  <si>
    <t xml:space="preserve">Calthorpe P7 (8-12% barn/colony; 5-8% FR); Aurora ~8-10%</t>
  </si>
  <si>
    <t xml:space="preserve">Electricity inflation (cum CY24-26)</t>
  </si>
  <si>
    <t xml:space="preserve">Calthorpe P7 (18-20% cumulative)</t>
  </si>
  <si>
    <t xml:space="preserve">150-220 bps margin headwind on colony/barn.</t>
  </si>
  <si>
    <t xml:space="preserve">Electricity margin impact</t>
  </si>
  <si>
    <t xml:space="preserve">Calthorpe P7 (150-220 bps)</t>
  </si>
  <si>
    <t xml:space="preserve">Electricity step-up (FY28, on line)</t>
  </si>
  <si>
    <t xml:space="preserve">Calthorpe P7 (Aurora tariff expires late 2027; +18-22% re-tariff FY28)</t>
  </si>
  <si>
    <t xml:space="preserve">2027-28 cost step-up risk; carry FY28+.</t>
  </si>
  <si>
    <t xml:space="preserve">NZ feed wheat (low)</t>
  </si>
  <si>
    <t xml:space="preserve">NZ$/t</t>
  </si>
  <si>
    <t xml:space="preserve">Calthorpe P7 (NZ$430-510/t CY24-25; spike 540+ in 2023)</t>
  </si>
  <si>
    <t xml:space="preserve">NZ feed wheat (high)</t>
  </si>
  <si>
    <t xml:space="preserve">L.  Colony-to-barn conversion / transition timing (Calthorpe P2)</t>
  </si>
  <si>
    <t xml:space="preserve">Capex per bird (low)</t>
  </si>
  <si>
    <t xml:space="preserve">NZ$/bird</t>
  </si>
  <si>
    <t xml:space="preserve">Calthorpe P2; Hartley Pearce (NZ$45-65 all-in)</t>
  </si>
  <si>
    <t xml:space="preserve">Basic barn fit-out.</t>
  </si>
  <si>
    <t xml:space="preserve">Capex per bird (high)</t>
  </si>
  <si>
    <t xml:space="preserve">Calthorpe P2 (modern automated barn NZ$58-65)</t>
  </si>
  <si>
    <t xml:space="preserve">Capex per bird — Aurora (mid)</t>
  </si>
  <si>
    <t xml:space="preserve">Calthorpe P2 (Aurora mid NZ$52-58, modern colony sheds)</t>
  </si>
  <si>
    <t xml:space="preserve">DOC lead time (low)</t>
  </si>
  <si>
    <t xml:space="preserve">months</t>
  </si>
  <si>
    <t xml:space="preserve">Calthorpe P2 (6-9 months order-to-delivery)</t>
  </si>
  <si>
    <t xml:space="preserve">No buffer; could lengthen.</t>
  </si>
  <si>
    <t xml:space="preserve">DOC lead time (high)</t>
  </si>
  <si>
    <t xml:space="preserve">Calthorpe P2</t>
  </si>
  <si>
    <t xml:space="preserve">16 wks rearing; 2-qtr delay risk (P7).</t>
  </si>
  <si>
    <t xml:space="preserve">Physical build (low)</t>
  </si>
  <si>
    <t xml:space="preserve">Calthorpe P2 (12-18 months once consents granted)</t>
  </si>
  <si>
    <t xml:space="preserve">Aurora ~14-16 months (keeping footprints).</t>
  </si>
  <si>
    <t xml:space="preserve">Physical build (high)</t>
  </si>
  <si>
    <t xml:space="preserve">Resource consent (no notification)</t>
  </si>
  <si>
    <t xml:space="preserve">Calthorpe P2 (4-6 months)</t>
  </si>
  <si>
    <t xml:space="preserve">Resource consent (notified)</t>
  </si>
  <si>
    <t xml:space="preserve">Calthorpe P2 (9-12 months if public notification)</t>
  </si>
  <si>
    <t xml:space="preserve">Worst case start-to-bird-in 24-30 months.</t>
  </si>
  <si>
    <t xml:space="preserve">Runway to end-2027 deadline</t>
  </si>
  <si>
    <t xml:space="preserve">Calthorpe P2 (≈19 months from interview; consents needed by Q4 2025)</t>
  </si>
  <si>
    <t xml:space="preserve">Vivian Hypothesis 2; mathematically tight.</t>
  </si>
  <si>
    <t xml:space="preserve">M.  Aurora Eggs — flock, mix, financials (management IM, unverified)</t>
  </si>
  <si>
    <t xml:space="preserve">Aurora flock</t>
  </si>
  <si>
    <t xml:space="preserve">hens</t>
  </si>
  <si>
    <t xml:space="preserve">Aurora website; Hartley Pearce competitor overview (~610k birds)</t>
  </si>
  <si>
    <t xml:space="preserve">Two sites: Waikato (NI) + Canterbury (SI).</t>
  </si>
  <si>
    <t xml:space="preserve">Aurora mix — colony</t>
  </si>
  <si>
    <t xml:space="preserve">Calthorpe P1 (Mark: 40-30-30); IM S4 (FR 30%)</t>
  </si>
  <si>
    <t xml:space="preserve">Colony = biggest deal risk.</t>
  </si>
  <si>
    <t xml:space="preserve">Aurora mix — barn</t>
  </si>
  <si>
    <t xml:space="preserve">Calthorpe P1</t>
  </si>
  <si>
    <t xml:space="preserve">Aurora mix — free-range</t>
  </si>
  <si>
    <t xml:space="preserve">Calthorpe P1; IM S4 (FR 30%)</t>
  </si>
  <si>
    <t xml:space="preserve">~50%+ of FR pack is commodity FR (trade-down exposed).</t>
  </si>
  <si>
    <t xml:space="preserve">Aurora channel — retail</t>
  </si>
  <si>
    <t xml:space="preserve">Calthorpe P4 (~70 retail / 25 foodservice / 5 industrial)</t>
  </si>
  <si>
    <t xml:space="preserve">Aurora channel — foodservice</t>
  </si>
  <si>
    <t xml:space="preserve">Calthorpe P4</t>
  </si>
  <si>
    <t xml:space="preserve">Aurora channel — industrial</t>
  </si>
  <si>
    <t xml:space="preserve">Aurora revenue (NZ$M)</t>
  </si>
  <si>
    <t xml:space="preserve">Aurora IM S2 (FY22-24A); IM S3 forecast (FY25-30E, +7% pa)</t>
  </si>
  <si>
    <t xml:space="preserve">Management, unverified. Revenue/dozen FY24 = NZ$6.46 (above gate blend — open Q).</t>
  </si>
  <si>
    <t xml:space="preserve">Aurora EBITDA reported (NZ$M)</t>
  </si>
  <si>
    <t xml:space="preserve">Aurora IM S2 (reported)</t>
  </si>
  <si>
    <t xml:space="preserve">Adj FY24 = NZ$12.6M (14.9%) — addbacks unverified.</t>
  </si>
  <si>
    <t xml:space="preserve">Aurora volume (M dozen)</t>
  </si>
  <si>
    <t xml:space="preserve">Aurora IM S2</t>
  </si>
  <si>
    <t xml:space="preserve">IM claims 5-7% pa growth FY26-30.</t>
  </si>
  <si>
    <t xml:space="preserve">Aurora EBITDA margin FY24 (reported)</t>
  </si>
  <si>
    <t xml:space="preserve">Aurora IM S2 (12.8%)</t>
  </si>
  <si>
    <t xml:space="preserve">Adj 14.9% &gt;13% benchmark addback threshold.</t>
  </si>
  <si>
    <t xml:space="preserve">Aurora EBITDA margin FY24 (adj)</t>
  </si>
  <si>
    <t xml:space="preserve">Aurora IM S2 (adj 14.9%)</t>
  </si>
  <si>
    <t xml:space="preserve">Adjustment schedule in data room (not yet available).</t>
  </si>
  <si>
    <t xml:space="preserve">Aurora volume share (bottom-up)</t>
  </si>
  <si>
    <t xml:space="preserve">Calthorpe P3 (18% all-channel); Hartley Pearce (est 18%)</t>
  </si>
  <si>
    <t xml:space="preserve">Retail-channel share ~22-23% (more retail-concentrated).</t>
  </si>
  <si>
    <t xml:space="preserve">Aurora retail-channel share</t>
  </si>
  <si>
    <t xml:space="preserve">Calthorpe P3 (~22-23%)</t>
  </si>
  <si>
    <t xml:space="preserve">Looks bigger via retail lens than all-channel.</t>
  </si>
  <si>
    <t xml:space="preserve">Aurora IM volume growth claim</t>
  </si>
  <si>
    <t xml:space="preserve">Aurora IM S3 (5-7% pa FY26-30)</t>
  </si>
  <si>
    <t xml:space="preserve">Pop 0.9% + pcc 1.5-2.0% + share 2-3pp. Contested.</t>
  </si>
  <si>
    <t xml:space="preserve">Aurora IM EV (low)</t>
  </si>
  <si>
    <t xml:space="preserve">NZ$M</t>
  </si>
  <si>
    <t xml:space="preserve">Aurora IM S7 (NZ$130-170M; 12-14x FY24 adj EBITDA)</t>
  </si>
  <si>
    <t xml:space="preserve">Sell-side asking; apply comp haircuts (Aurora tab).</t>
  </si>
  <si>
    <t xml:space="preserve">Aurora IM EV (high)</t>
  </si>
  <si>
    <t xml:space="preserve">Aurora IM S7</t>
  </si>
  <si>
    <t xml:space="preserve">N.  NZ producer cohort (FY24) — Hartley Pearce / Calthorpe P6</t>
  </si>
  <si>
    <t xml:space="preserve">Producer</t>
  </si>
  <si>
    <t xml:space="preserve">Rev NZ$M</t>
  </si>
  <si>
    <t xml:space="preserve">Vol share</t>
  </si>
  <si>
    <t xml:space="preserve">EBITDA mgn</t>
  </si>
  <si>
    <t xml:space="preserve">Ownership / notes</t>
  </si>
  <si>
    <t xml:space="preserve">Mainland Poultry</t>
  </si>
  <si>
    <t xml:space="preserve">PEP (since Jan 2025); full 7-stage stack; 1.2M birds (Navis 2017)</t>
  </si>
  <si>
    <t xml:space="preserve">Heyden Farms</t>
  </si>
  <si>
    <t xml:space="preserve">Family (Heyden); 55/45 brand/PL</t>
  </si>
  <si>
    <t xml:space="preserve">Better Eggs</t>
  </si>
  <si>
    <t xml:space="preserve">Family (Anderson); 60/40; specialty side</t>
  </si>
  <si>
    <t xml:space="preserve">Zeagold Foods</t>
  </si>
  <si>
    <t xml:space="preserve">Mainland/PEP eggs division; industrial egg-products; 13-15%</t>
  </si>
  <si>
    <t xml:space="preserve">Henergy Cage Free</t>
  </si>
  <si>
    <t xml:space="preserve">Family (Wilson); pure-play FR; 75%+ branded</t>
  </si>
  <si>
    <t xml:space="preserve">Long-tail / specialty</t>
  </si>
  <si>
    <t xml:space="preserve">&gt;30 producers; facing Phase-2 capex without balance sheet</t>
  </si>
  <si>
    <t xml:space="preserve">  Top-5 share (excl Aurora) / Aurora (net-additive)</t>
  </si>
  <si>
    <t xml:space="preserve">62% / 18%</t>
  </si>
  <si>
    <t xml:space="preserve">Top-5 ~62%; long-tail ~20%; Aurora ~18% (additive to public roster).</t>
  </si>
  <si>
    <t xml:space="preserve">O.  Retail value-chain profit pool (% of retail value) — Pacific Agri briefing sec 4</t>
  </si>
  <si>
    <t xml:space="preserve">Tier 1 — primary producer</t>
  </si>
  <si>
    <t xml:space="preserve">Pacific Agri briefing (30-40%)</t>
  </si>
  <si>
    <t xml:space="preserve">Depending on channel mix.</t>
  </si>
  <si>
    <t xml:space="preserve">Tier 2 — grader/packer/processor</t>
  </si>
  <si>
    <t xml:space="preserve">Pacific Agri briefing (10-15%)</t>
  </si>
  <si>
    <t xml:space="preserve">Integrated producers capture in-house.</t>
  </si>
  <si>
    <t xml:space="preserve">Tier 3 — distributor/wholesaler</t>
  </si>
  <si>
    <t xml:space="preserve">Tier 4 — retailer/channel</t>
  </si>
  <si>
    <t xml:space="preserve">Pacific Agri briefing (35-50%, largest pool)</t>
  </si>
  <si>
    <t xml:space="preserve">Retailer EBITDA/doz ~2.5x producer (Calthorpe P4).</t>
  </si>
  <si>
    <t xml:space="preserve">Q.  Sizing &amp; forecast calibration inputs (model-build anchors)</t>
  </si>
  <si>
    <t xml:space="preserve">Top-down retail market value, FY24 (anchor)</t>
  </si>
  <si>
    <t xml:space="preserve">Antipodean Agri NZ Eggs briefing 2025-09: 'NZ retail shell-egg market ~NZ$459M FY24'</t>
  </si>
  <si>
    <t xml:space="preserve">Published top-down anchor (pop 5.22M x pcc 229 x retail shelf x uplift).</t>
  </si>
  <si>
    <t xml:space="preserve">Bottom-up all-channel value, FY24 (anchor)</t>
  </si>
  <si>
    <t xml:space="preserve">Calthorpe P3: 3.75M flock x 300 eggs x 90% util x weighted channel blend -&gt; NZ$535-545M</t>
  </si>
  <si>
    <t xml:space="preserve">All-channel production sizing; gap to top-down = non-retail scope.</t>
  </si>
  <si>
    <t xml:space="preserve">Retail price growth (nominal, pa)</t>
  </si>
  <si>
    <t xml:space="preserve">Model calibration; net of FR premium compression (modeled separately via fr_prem)</t>
  </si>
  <si>
    <t xml:space="preserve">Modest nominal; CPI 2.7% is the cost-side anchor.</t>
  </si>
  <si>
    <t xml:space="preserve">National flock growth (pa)</t>
  </si>
  <si>
    <t xml:space="preserve">Model assumption; flock expands to track demand (~pop+pcc 1.6%); Phase-2 conversion adds capacity (Calthorpe: 3.7-3.8M rising)</t>
  </si>
  <si>
    <t xml:space="preserve">3.75M FY24 -&gt; ~4.1M FY30 (tracks demand). Base gap vs consumption (pcc) remains — see reconciliation.</t>
  </si>
  <si>
    <t xml:space="preserve">Adult share of population (memo)</t>
  </si>
  <si>
    <t xml:space="preserve">ACII Wave 11 per-capita is per ADULT (n=4,287 18+); NZ 18+ ~79-80%</t>
  </si>
  <si>
    <t xml:space="preserve">Analyst top-down used total-pop x per-capita (slight over-statement); flagged.</t>
  </si>
  <si>
    <t xml:space="preserve">Industrial processor markup (first-hand-off)</t>
  </si>
  <si>
    <t xml:space="preserve">Model assumption; industrial first-hand-off = ind_gate x (1+markup)</t>
  </si>
  <si>
    <t xml:space="preserve">Processor margin layer (bakeries/mayo/ready-meals).</t>
  </si>
  <si>
    <t xml:space="preserve">P.  Precedent transactions &amp; cross-trade comps (Hartley Pearce / Cal-Maine 10-K)</t>
  </si>
  <si>
    <t xml:space="preserve">Navis -&gt; Mainland (2017)</t>
  </si>
  <si>
    <t xml:space="preserve">x EBITDA</t>
  </si>
  <si>
    <t xml:space="preserve">Hartley Pearce competitor overview; Navis 2017 press release</t>
  </si>
  <si>
    <t xml:space="preserve">Most useful NZ-scale precedent (Vivian).</t>
  </si>
  <si>
    <t xml:space="preserve">PEP -&gt; Mainland (2025)</t>
  </si>
  <si>
    <t xml:space="preserve">Hartley Pearce (~7.0-7.5x; NZ$340-380M)</t>
  </si>
  <si>
    <t xml:space="preserve">Mainland full-stack; Aurora lacks stack -&gt; discount.</t>
  </si>
  <si>
    <t xml:space="preserve">PEP -&gt; Mainland EV</t>
  </si>
  <si>
    <t xml:space="preserve">Hartley Pearce (NZ$340-380M)</t>
  </si>
  <si>
    <t xml:space="preserve">Better Eggs tuck-in (2023)</t>
  </si>
  <si>
    <t xml:space="preserve">Hartley Pearce (NZ$7-9M, ~50k birds)</t>
  </si>
  <si>
    <t xml:space="preserve">Long-tail consolidation precedent.</t>
  </si>
  <si>
    <t xml:space="preserve">Cal-Maine mid-cycle</t>
  </si>
  <si>
    <t xml:space="preserve">Hartley Pearce (9-11x); Cal-Maine 10-K</t>
  </si>
  <si>
    <t xml:space="preserve">US pure-play; ~50x Aurora scale -&gt; heavy haircut.</t>
  </si>
  <si>
    <t xml:space="preserve">Inghams (broiler adjacency)</t>
  </si>
  <si>
    <t xml:space="preserve">Hartley Pearce (8-9x)</t>
  </si>
  <si>
    <t xml:space="preserve">Broiler not layer; product-mix haircut.</t>
  </si>
  <si>
    <t xml:space="preserve">Cal-Maine layers (May-25)</t>
  </si>
  <si>
    <t xml:space="preserve">Cal-Maine FY25 10-K</t>
  </si>
  <si>
    <t xml:space="preserve">May 2025</t>
  </si>
  <si>
    <t xml:space="preserve">~13x NZ flock; ~79x Aurora flock.</t>
  </si>
  <si>
    <t xml:space="preserve">R.  Scan-data retail cross-check (RetailIQ NZ Q1 2026) — contested volume base</t>
  </si>
  <si>
    <t xml:space="preserve">Scan retail volume, Q1 2026</t>
  </si>
  <si>
    <t xml:space="preserve">M dozen</t>
  </si>
  <si>
    <t xml:space="preserve">RetailIQ NZ scan data Q1 2026 — Volume tab (Foodstuffs 13.55 + Countdown 11.42 + other 0.03 = 25.0M dozen)</t>
  </si>
  <si>
    <t xml:space="preserve">Reconciled to retailer category totals ±2% (scan Notes). Q1 is seasonally LOW.</t>
  </si>
  <si>
    <t xml:space="preserve">Scan retail tier mix — colony</t>
  </si>
  <si>
    <t xml:space="preserve">RetailIQ scan Volume (colony 8.3% of retail)</t>
  </si>
  <si>
    <t xml:space="preserve">Combines Foodstuffs + Countdown.</t>
  </si>
  <si>
    <t xml:space="preserve">Scan retail tier mix — barn</t>
  </si>
  <si>
    <t xml:space="preserve">RetailIQ scan Volume (barn 27.3%)</t>
  </si>
  <si>
    <t xml:space="preserve">Scan retail tier mix — FR commodity</t>
  </si>
  <si>
    <t xml:space="preserve">RetailIQ scan Volume (FR-commodity 55.2%)</t>
  </si>
  <si>
    <t xml:space="preserve">Largest tier-cell.</t>
  </si>
  <si>
    <t xml:space="preserve">Scan retail tier mix — premium</t>
  </si>
  <si>
    <t xml:space="preserve">RetailIQ scan Volume (pasture-raised 9.1%)</t>
  </si>
  <si>
    <t xml:space="preserve">Scan shelf — colony (1doz)</t>
  </si>
  <si>
    <t xml:space="preserve">RetailIQ scan Pricing (Pak'nSave 6.69 / NW 6.99 / Countdown 6.89)</t>
  </si>
  <si>
    <t xml:space="preserve">Scan shelf — barn (1doz)</t>
  </si>
  <si>
    <t xml:space="preserve">RetailIQ scan Pricing (7.59 / 8.19 / 7.99)</t>
  </si>
  <si>
    <t xml:space="preserve">Scan shelf — FR commodity (1doz)</t>
  </si>
  <si>
    <t xml:space="preserve">RetailIQ scan Pricing (8.79 / 9.59 / 9.39)</t>
  </si>
  <si>
    <t xml:space="preserve">Scan shelf — premium (1doz)</t>
  </si>
  <si>
    <t xml:space="preserve">RetailIQ scan Pricing (Countdown 13.99 / NW 14.99)</t>
  </si>
  <si>
    <t xml:space="preserve">Stage discipline: preliminary outside-in (pre-LOI). No invest/pass verdict — IC owns the verdict. Flagged (amber) inputs are contested across sources or management-claimed and need confirmatory validation.</t>
  </si>
  <si>
    <t xml:space="preserve">Market Sizing — Top-Down vs Bottom-Up + Reconciliation</t>
  </si>
  <si>
    <t xml:space="preserve">Top-down = retail channel (consumption-based, analyst anchor NZ$459M FY24). Bottom-up = all-channel production (flock x lay x util; Calthorpe ~NZ$540M). Gap surfaced &amp; explained (non-retail scope + base difference). Scan-data cross-check flagged.</t>
  </si>
  <si>
    <t xml:space="preserve">1.  TOP-DOWN — retail channel (consumption-based; Antipodean Agri anchor NZ$459M FY24)</t>
  </si>
  <si>
    <t xml:space="preserve">Driver / metric</t>
  </si>
  <si>
    <t xml:space="preserve">Population (M)</t>
  </si>
  <si>
    <t xml:space="preserve">Per-capita (eggs/person)</t>
  </si>
  <si>
    <t xml:space="preserve">  Total consumption (M eggs)</t>
  </si>
  <si>
    <t xml:space="preserve">  Total consumption (M dozen)</t>
  </si>
  <si>
    <t xml:space="preserve">Retail share</t>
  </si>
  <si>
    <t xml:space="preserve">  Retail consumption (M dozen)</t>
  </si>
  <si>
    <t xml:space="preserve">TOP-DOWN RETAIL VALUE (NZ$M)</t>
  </si>
  <si>
    <t xml:space="preserve">  Implied blended retail shelf (NZ$/doz)</t>
  </si>
  <si>
    <t xml:space="preserve">TOP-DOWN RETAIL VALUE (US$M)</t>
  </si>
  <si>
    <t xml:space="preserve">Anchor NZ$459M FY24 (Antipodean Agri 2025-09: pop 5.22M x pcc 229 x retail shelf x ~30% uplift). Grown by population + per-capita + modest nominal price growth. Per-capita is per-ADULT (ACII); analyst applied to total pop (slight over-statement — flagged on Assumptions).</t>
  </si>
  <si>
    <t xml:space="preserve">2.  BOTTOM-UP — all-channel production (flock x lay x util; channel x system MECE)</t>
  </si>
  <si>
    <t xml:space="preserve">National flock (M hens)</t>
  </si>
  <si>
    <t xml:space="preserve">  Production (M eggs)</t>
  </si>
  <si>
    <t xml:space="preserve">  Production (M dozen)</t>
  </si>
  <si>
    <t xml:space="preserve">Channel volume (M dozen)</t>
  </si>
  <si>
    <t xml:space="preserve">  Retail grocery dozen</t>
  </si>
  <si>
    <t xml:space="preserve">  Foodservice dozen</t>
  </si>
  <si>
    <t xml:space="preserve">  Industrial/processor dozen</t>
  </si>
  <si>
    <t xml:space="preserve">  Institutional/own-use dozen</t>
  </si>
  <si>
    <t xml:space="preserve">  Direct/DTC dozen</t>
  </si>
  <si>
    <t xml:space="preserve">Retail dozen by production system</t>
  </si>
  <si>
    <t xml:space="preserve">  Colony (retail)</t>
  </si>
  <si>
    <t xml:space="preserve">  Barn (retail)</t>
  </si>
  <si>
    <t xml:space="preserve">  Free-range (retail)</t>
  </si>
  <si>
    <t xml:space="preserve">Channel first-hand-off price (NZ$/doz)</t>
  </si>
  <si>
    <t xml:space="preserve">  Retail blended shelf</t>
  </si>
  <si>
    <t xml:space="preserve">  Foodservice (gate x 1+dist)</t>
  </si>
  <si>
    <t xml:space="preserve">  Industrial (gate x 1+proc)</t>
  </si>
  <si>
    <t xml:space="preserve">  Institutional (gate)</t>
  </si>
  <si>
    <t xml:space="preserve">  Direct/DTC (gate)</t>
  </si>
  <si>
    <t xml:space="preserve">Market value at first-hand-off (NZ$M)</t>
  </si>
  <si>
    <t xml:space="preserve">  Retail value</t>
  </si>
  <si>
    <t xml:space="preserve">  Foodservice value</t>
  </si>
  <si>
    <t xml:space="preserve">  Industrial value</t>
  </si>
  <si>
    <t xml:space="preserve">  Institutional value</t>
  </si>
  <si>
    <t xml:space="preserve">  Direct value</t>
  </si>
  <si>
    <t xml:space="preserve">BOTTOM-UP MARKET VALUE (NZ$M)</t>
  </si>
  <si>
    <t xml:space="preserve">BOTTOM-UP MARKET VALUE (US$M)</t>
  </si>
  <si>
    <t xml:space="preserve">Producer gate revenue (NZ$M) — what producers book</t>
  </si>
  <si>
    <t xml:space="preserve">  Retail blended gate (FR = barn x (1+prem))</t>
  </si>
  <si>
    <t xml:space="preserve">Producer gate revenue (NZ$M)</t>
  </si>
  <si>
    <t xml:space="preserve">  Value-chain markup (NZ$M)</t>
  </si>
  <si>
    <t xml:space="preserve">Producer gate revenue (US$M)</t>
  </si>
  <si>
    <t xml:space="preserve">FR gate = barn gate x (1+FR premium) models premium compression (price response to barn-supply growth). Value-chain markup = retailer + distributor + processor margins (see Profit_Pool).</t>
  </si>
  <si>
    <t xml:space="preserve">3.  SCAN-DATA RETAIL CROSS-CHECK (RetailIQ NZ Q1 2026) — CONTESTED, FLAGGED</t>
  </si>
  <si>
    <t xml:space="preserve">Scan retail volume, Q1 2026 (M dozen)</t>
  </si>
  <si>
    <t xml:space="preserve">Foodstuffs 13.55 + Countdown 11.42 + other 0.03 (scan Volume).</t>
  </si>
  <si>
    <t xml:space="preserve">Annualised x4 (M dozen; pre seasonal-adj)</t>
  </si>
  <si>
    <t xml:space="preserve">Q1 is seasonally LOW (scan Notes) — true annual likely higher.</t>
  </si>
  <si>
    <t xml:space="preserve">Scan blended retail shelf (NZ$/doz)</t>
  </si>
  <si>
    <t xml:space="preserve">Scan-implied retail value at SHELF (NZ$M/yr)</t>
  </si>
  <si>
    <t xml:space="preserve">Consumer-facing.</t>
  </si>
  <si>
    <t xml:space="preserve">Scan-implied retail value at GATE (NZ$M/yr)</t>
  </si>
  <si>
    <t xml:space="preserve">Producer-side.</t>
  </si>
  <si>
    <t xml:space="preserve">vs Top-down retail FY24 (NZ$M)</t>
  </si>
  <si>
    <t xml:space="preserve">MATERIAL DISCREPANCY: scan-implied annual retail volume (~100M dozen) EXCEEDS total production (~84M dozen, row 'Production (M dozen)') and the consumption-build retail volume (~70M dozen). Scan data is reconciled to retailer category totals ±2% (scan Notes), so the gap is not a panel artefact. Possible: (a) consumption (pcc 229) &amp; flock (3.75M) bases under-state the market; (b) retail share &gt;70% interview anchor; (c) scan over-covers. Confirmatory DD must re-anchor the volume base. Surfaced, not normalized (analytical standards §2.1).</t>
  </si>
  <si>
    <t xml:space="preserve">4.  Reconciliation — top-down (retail) vs bottom-up (all-channel) + Aurora share</t>
  </si>
  <si>
    <t xml:space="preserve">Top-down retail (NZ$M)</t>
  </si>
  <si>
    <t xml:space="preserve">Bottom-up all-channel (NZ$M)</t>
  </si>
  <si>
    <t xml:space="preserve">  Gap (bottom-up - top-down) (NZ$M)</t>
  </si>
  <si>
    <t xml:space="preserve">    of which non-retail FHO (NZ$M)</t>
  </si>
  <si>
    <t xml:space="preserve">  Aurora volume share</t>
  </si>
  <si>
    <t xml:space="preserve">  Aurora revenue share (of gate rev)</t>
  </si>
  <si>
    <t xml:space="preserve">Reconciliation (Calthorpe P3): bottom-up sizes ALL production; top-down sizes the RETAIL channel only. Gap = non-retail first-hand-off value (foodservice + industrial + institutional + direct) + a base difference (top-down is consumption-based pop x pcc; bottom-up is production-based flock x lay x util; the two dozen bases differ ~15% — adult-vs-total-pop per-capita convention + inventory/spoilage). Aurora revenue share (FY24 ~23%) &gt; volume share (~16-18%) because Aurora is more retail-concentrated (Calthorpe P3). Use bottom-up for VOLUME share; top-down for RETAIL-channel share (analytical standards §2.1).</t>
  </si>
  <si>
    <t xml:space="preserve">5-Year Forecast — demand drivers, channel x system, consumer-demand sensitivity</t>
  </si>
  <si>
    <t xml:space="preserve">Forecast driven by population + per-capita (Treasury / ACII). MECE by channel x production system. Consumer-demand sensitivity (plant-based displacement + FR trade-down) shown vs base. IM growth claim (5-7% pa) benchmarked vs survey-based market growth.</t>
  </si>
  <si>
    <t xml:space="preserve">1.  Demand-driver bridge — population + per-capita (Treasury / ACII Wave 11)</t>
  </si>
  <si>
    <t xml:space="preserve">    Population growth (pa)</t>
  </si>
  <si>
    <t xml:space="preserve">Per-capita base (eggs/person)</t>
  </si>
  <si>
    <t xml:space="preserve">    + dietary-mix shift (pa)</t>
  </si>
  <si>
    <t xml:space="preserve">    + demographic-cuisine (pa)</t>
  </si>
  <si>
    <t xml:space="preserve">    = survey per-capita growth (pa)</t>
  </si>
  <si>
    <t xml:space="preserve">    IM management claim (pa) — CONTESTED</t>
  </si>
  <si>
    <t xml:space="preserve">  Plant-based displacement (ramp to pb_disp)</t>
  </si>
  <si>
    <t xml:space="preserve">Effective demand growth (pa, base)</t>
  </si>
  <si>
    <t xml:space="preserve">Total consumption (M dozen, demand basis)</t>
  </si>
  <si>
    <t xml:space="preserve">    displacement-adjusted (M dozen)</t>
  </si>
  <si>
    <t xml:space="preserve">Survey per-capita +0.7% pa (dietary-mix +0.45% + demographic-cuisine +0.25%) + population +0.9% pa -&gt; demand ~+1.6% pa. IM claims per-capita +1.5-2.0% pa (~2-3x survey) — contested. Plant-based displacement 1.5-2.5% by FY28-30 (ACII/Calthorpe P5). Demand basis (pop x pcc) &gt; production basis (flock x lay) by ~15% — the volume-base gap surfaced in Market_Sizing (scan data ~100M dozen supports the higher figure).</t>
  </si>
  <si>
    <t xml:space="preserve">REAL vs NOMINAL (standards §12): forecast is NOMINAL NZD — prices escalate with ret_px_growth and tier dynamics (FR premium compression), not a flat CPI lift. NZ CPI 2.7% (Assumptions) is the cost-side anchor; real growth = nominal less CPI. USD via FX_Rates_Forecast by year.</t>
  </si>
  <si>
    <t xml:space="preserve">2.  5-year market forecast — BASE CASE (production basis; refs Market_Sizing; MECE channel x system)</t>
  </si>
  <si>
    <t xml:space="preserve">Total market volume (M dozen, production)</t>
  </si>
  <si>
    <t xml:space="preserve">    Colony dozen (retail)</t>
  </si>
  <si>
    <t xml:space="preserve">    Barn dozen (retail)</t>
  </si>
  <si>
    <t xml:space="preserve">    Free-range dozen (retail)</t>
  </si>
  <si>
    <t xml:space="preserve">MARKET VALUE (NZ$M, all-channel)</t>
  </si>
  <si>
    <t xml:space="preserve">MARKET VALUE (US$M, all-channel)</t>
  </si>
  <si>
    <t xml:space="preserve">    YoY market value growth (NZ$)</t>
  </si>
  <si>
    <t xml:space="preserve">    Retail value (NZ$M)</t>
  </si>
  <si>
    <t xml:space="preserve">    Foodservice value (NZ$M)</t>
  </si>
  <si>
    <t xml:space="preserve">    Industrial value (NZ$M)</t>
  </si>
  <si>
    <t xml:space="preserve">Production basis: flock grows ~1.5% pa to track demand. Colony dozen declines FY25-&gt;FY30 (40%-&gt;2% of retail) under managed conversion; barn + FR absorb. Market value grows ~1.5% pa volume + mix shift to higher-priced barn/FR, partly offset by FR premium compression.</t>
  </si>
  <si>
    <t xml:space="preserve">3.  Consumer-demand sensitivity — downside vs base (ACII / Calthorpe P5)</t>
  </si>
  <si>
    <t xml:space="preserve">  Plant-based displacement volume (M dozen)</t>
  </si>
  <si>
    <t xml:space="preserve">  FR trade-down value loss (NZ$M)</t>
  </si>
  <si>
    <t xml:space="preserve">DOWNSIDE MARKET VALUE (NZ$M)</t>
  </si>
  <si>
    <t xml:space="preserve">DOWNSIDE MARKET VALUE (US$M)</t>
  </si>
  <si>
    <t xml:space="preserve">    % impact vs base (NZ$)</t>
  </si>
  <si>
    <t xml:space="preserve">Downside = plant-based displacement (ramp to 2% of volume by FY28) + free-range trade-down (22.5% of FR buyers shift to barn under budget pressure; value loss = traded-down FR dozen x (FR shelf - barn shelf)). Specialty premium (pasture/omega-3/organic) excluded — durable, 4-9% switch (ACII). Net downside ~3-4% of market value by FY30. The bigger swing is the IM growth claim (5-7% pa) vs survey base (~1.6% pa) — see bridge.</t>
  </si>
  <si>
    <t xml:space="preserve">4.  Aurora growth claim vs market — the contested bridge (Vivian Hypothesis 3)</t>
  </si>
  <si>
    <t xml:space="preserve">Market volume growth (pa, base)</t>
  </si>
  <si>
    <t xml:space="preserve">Aurora IM volume growth claim (pa)</t>
  </si>
  <si>
    <t xml:space="preserve">    Implied Aurora share gain required (pp pa)</t>
  </si>
  <si>
    <t xml:space="preserve">Aurora IM revenue forecast (NZ$M)</t>
  </si>
  <si>
    <t xml:space="preserve">  Aurora model-implied rev @ flat share (NZ$M)</t>
  </si>
  <si>
    <t xml:space="preserve">    Gap: IM claim vs flat-share model (NZ$M)</t>
  </si>
  <si>
    <t xml:space="preserve">At flat FY24 revenue share (~23%), Aurora grows with the market (~1.5% pa). IM's +7% pa revenue / 5-7% pa volume claim implies Aurora gains ~4-5pp share pa by capturing exiting cage-egg producers (IM S3 '2-3pp incremental share'). That share capture is the swing factor and is UNVERIFIED — confirmatory DD must validate Aurora's win-rate vs the long-tail exit. Aurora's #2 volume share sits with #4/#5 integration depth (no captive feed/breeder) — capacity to capture share is not self-evident (Calthorpe P6).</t>
  </si>
  <si>
    <t xml:space="preserve">Cage-Ban Transition Scenarios — colony cohort to end-2027 (retailer pledge)</t>
  </si>
  <si>
    <t xml:space="preserve">Three named scenarios (Managed Conversion / Capacity Gap / Premium Collapse) with driver, consequence, breakeven. Price response modeled (FR premium path) — no flat prices (analytical standards §3.1). Aurora colony conversion feasibility sized.</t>
  </si>
  <si>
    <t xml:space="preserve">1.  Scenario definitions — driver / consequence / breakeven (analytical standards §3.1)</t>
  </si>
  <si>
    <t xml:space="preserve">Scenario</t>
  </si>
  <si>
    <t xml:space="preserve">Driver (what differs)</t>
  </si>
  <si>
    <t xml:space="preserve">Consequence (model output)</t>
  </si>
  <si>
    <t xml:space="preserve">Breakeven (trigger)</t>
  </si>
  <si>
    <t xml:space="preserve">Managed Conversion (base)</t>
  </si>
  <si>
    <t xml:space="preserve">Colony cohort converts to barn/FR on time for end-2027 Foodstuffs deadline; consents started Q4 2025; DOC + build on schedule.</t>
  </si>
  <si>
    <t xml:space="preserve">Colony share 40%-&gt;~2% by FY30; barn absorbs ~2/3, FR ~1/3. FR premium compresses 18%-&gt;10% as barn supply scales. Minimal retail-access loss.</t>
  </si>
  <si>
    <t xml:space="preserve">Consents lodged by Q4 2025 (runway ~19mo; consent 5-10.5mo + build 14-16mo = 19-26.5mo). On-time if consents in train now.</t>
  </si>
  <si>
    <t xml:space="preserve">Capacity Gap / Slippage</t>
  </si>
  <si>
    <t xml:space="preserve">Conversion slips past end-2027: resource-consent delays (notification) + DOC 6-9mo lead + build 14-16mo exceed the ~19mo runway.</t>
  </si>
  <si>
    <t xml:space="preserve">Colony share stays elevated (40%-&gt;~22% by FY28 vs ~12% base); colony producers lose Foodstuffs listing -&gt; retail volume at risk; barn/FR supply-gap price spike FY26-27 then normalize. Aurora capex overrun + retail-access risk.</t>
  </si>
  <si>
    <t xml:space="preserve">Consent start slips past Q4 2025 -&gt; mathematically tight/impossible by end-2027 (Calthorpe P2). Breakeven: consents lodged &lt;= Q1 2026.</t>
  </si>
  <si>
    <t xml:space="preserve">Premium Collapse</t>
  </si>
  <si>
    <t xml:space="preserve">Colony exits on time BUT barn over-scales (cheap capex) faster than demand; commodity FR supply swells; cost-of-living trade-down accelerates.</t>
  </si>
  <si>
    <t xml:space="preserve">FR premium compresses hard 18%-&gt;~5% by FY30; commodity FR pricing power lost; converters who went FR (expensive) squeezed. Specialty premium (pasture/omega-3) durable.</t>
  </si>
  <si>
    <t xml:space="preserve">Barn supply growth vs demand. Breakeven: FR premium &lt;~8% (vs barn) makes FR conversion capex ($58-65/bird) sub-economic vs barn ($45-50).</t>
  </si>
  <si>
    <t xml:space="preserve">2.  Colony-cohort transition path — colony share of retail by scenario (price-relevant)</t>
  </si>
  <si>
    <t xml:space="preserve">FY25-&gt;FY30</t>
  </si>
  <si>
    <t xml:space="preserve">Assumptions mix_colony (base path)</t>
  </si>
  <si>
    <t xml:space="preserve">Model scenario (Calthorpe P2 timing)</t>
  </si>
  <si>
    <t xml:space="preserve">Model scenario (Calthorpe P5 compression)</t>
  </si>
  <si>
    <t xml:space="preserve">3.  Price response — free-range premium over barn (wholesale gate), by scenario (NOT flat)</t>
  </si>
  <si>
    <t xml:space="preserve">FY30 vs base</t>
  </si>
  <si>
    <t xml:space="preserve">Assumptions fr_prem (EPFNZ/Calthorpe P5)</t>
  </si>
  <si>
    <t xml:space="preserve">Model: supply-gap spike FY26-27 then normalize</t>
  </si>
  <si>
    <t xml:space="preserve">Model: hard compression (Calthorpe P5 downside)</t>
  </si>
  <si>
    <t xml:space="preserve">Price response is modeled per scenario (analytical standards §3.1): Capacity Gap -&gt; barn/FR supply-gap spike FY26-27 (premium up) then normalize; Premium Collapse -&gt; FR premium compresses to ~5% by FY30. IM claims 30%+ sustained (contested).</t>
  </si>
  <si>
    <t xml:space="preserve">4.  Colony retail-access volume at risk by scenario (M dozen, FY27)</t>
  </si>
  <si>
    <t xml:space="preserve">Colony retail dozen (FY27)</t>
  </si>
  <si>
    <t xml:space="preserve">At-risk share</t>
  </si>
  <si>
    <t xml:space="preserve">Volume at risk (M doz)</t>
  </si>
  <si>
    <t xml:space="preserve">Revenue at risk (NZ$M)</t>
  </si>
  <si>
    <t xml:space="preserve">Note</t>
  </si>
  <si>
    <t xml:space="preserve">Most colony producers convert on time; small tail at risk.</t>
  </si>
  <si>
    <t xml:space="preserve">Material slippage; ~40% of colony cohort misses Foodstuffs end-2027 deadline -&gt; delisted.</t>
  </si>
  <si>
    <t xml:space="preserve">Colony exits fast; little access risk but FR margin crush.</t>
  </si>
  <si>
    <t xml:space="preserve">Colony producers missing the Foodstuffs end-2027 deadline lose retail listing (Countdown already cage-free). At-risk volume can move to foodservice/industrial at lower gate (partial offset) or exit. Revenue at risk at colony gate (NZ$3.40/doz).</t>
  </si>
  <si>
    <t xml:space="preserve">5.  Aurora colony conversion — feasibility &amp; capex by scenario (Calthorpe P2)</t>
  </si>
  <si>
    <t xml:space="preserve">Item</t>
  </si>
  <si>
    <t xml:space="preserve">Value</t>
  </si>
  <si>
    <t xml:space="preserve">Unit</t>
  </si>
  <si>
    <t xml:space="preserve">Aurora colony birds (40% of 610k)</t>
  </si>
  <si>
    <t xml:space="preserve">Calthorpe P1 (Mark: 40-30-30)</t>
  </si>
  <si>
    <t xml:space="preserve">Aurora conversion capex (Calthorpe)</t>
  </si>
  <si>
    <t xml:space="preserve">244k birds x NZ$55/bird = ~NZ$13.4M (P2)</t>
  </si>
  <si>
    <t xml:space="preserve">Aurora conversion capex (IM claim)</t>
  </si>
  <si>
    <t xml:space="preserve">IM S5: NZ$8-10M (contested; ~35% below Calthorpe)</t>
  </si>
  <si>
    <t xml:space="preserve">Calthorpe P2 (~19mo from Apr-2026)</t>
  </si>
  <si>
    <t xml:space="preserve">Consents (no notify / notify)</t>
  </si>
  <si>
    <t xml:space="preserve">Calthorpe P2 (4-6 / 9-12)</t>
  </si>
  <si>
    <t xml:space="preserve">Physical build (Aurora, keep footprint)</t>
  </si>
  <si>
    <t xml:space="preserve">Calthorpe P2 (14-16)</t>
  </si>
  <si>
    <t xml:space="preserve">Best/worst case start-to-bird-in</t>
  </si>
  <si>
    <t xml:space="preserve">Calthorpe P2 (18-30)</t>
  </si>
  <si>
    <t xml:space="preserve">DOC lead time</t>
  </si>
  <si>
    <t xml:space="preserve">Calthorpe P2 (6-9, no buffer)</t>
  </si>
  <si>
    <t xml:space="preserve">Aurora IM S5 frames conversion as 'clear path by 2027' with NZ$8-10M capex. Calthorpe P2: capex ~NZ$13.4M, and consents needed by Q4 2025 to be comfortable — 'if the McKennas haven't started consents yet, they're behind.' Confirmatory DD: status of resource consents (lodged? notified?) and DOC supply contracts.</t>
  </si>
  <si>
    <t xml:space="preserve">6.  Output impact by scenario vs base (FY27 / FY30) — market value &amp; Aurora EBITDA-at-risk</t>
  </si>
  <si>
    <t xml:space="preserve">Mkt value FY27 (NZ$M)</t>
  </si>
  <si>
    <t xml:space="preserve">vs base</t>
  </si>
  <si>
    <t xml:space="preserve">Mkt value FY30 (NZ$M)</t>
  </si>
  <si>
    <t xml:space="preserve">Aurora EBITDA-at-risk (NZ$M pa)</t>
  </si>
  <si>
    <t xml:space="preserve">Driver of impact</t>
  </si>
  <si>
    <t xml:space="preserve">0.0-0.5</t>
  </si>
  <si>
    <t xml:space="preserve">On-time; base premium compression only.</t>
  </si>
  <si>
    <t xml:space="preserve">1.5-2.5</t>
  </si>
  <si>
    <t xml:space="preserve">Aurora colony retail-access loss (~1.9M doz) + capex overrun; market barn/FR spike then colony volume exits.</t>
  </si>
  <si>
    <t xml:space="preserve">0.5-1.5</t>
  </si>
  <si>
    <t xml:space="preserve">Aurora 30% FR mix revenue compresses (premium 20%-&gt;5%); commodity FR trade-down; specialty durable.</t>
  </si>
  <si>
    <t xml:space="preserve">Aurora EBITDA-at-risk ranges are directional (anchored on Calthorpe P4/P5 unit economics): Capacity Gap ~NZ$1.5-2.5M pa (colony retail-access loss ~1.9M dox x margin + capex overrun); Premium Collapse ~NZ$0.5-1.5M pa (FR mix 30% x premium 20%-&gt;5% compression + trade-down). Breakeven scenario = Managed Conversion (on-time). See Sensitivities tab for conversion-timing sensitivity table; Aurora tab for the full EBITDA bridge.</t>
  </si>
  <si>
    <t xml:space="preserve">Sensitivities — FX / price-tier / conversion-timing + cost-side &amp; supply-side</t>
  </si>
  <si>
    <t xml:space="preserve">Mandatory sensitivity tables (analytical standards §3.2): FX, price-tier trajectory, conversion timing — 3 scenarios + breakeven each. Plus input-cost (feed, electricity) and supply-side (DOC, HPAI). Output metric + breakeven identified per table.</t>
  </si>
  <si>
    <t xml:space="preserve">1.  FX sensitivity — NZD/USD (output: market value FY30 US$M; breakeven = house view)</t>
  </si>
  <si>
    <t xml:space="preserve">USD/NZD</t>
  </si>
  <si>
    <t xml:space="preserve">Mkt value FY30 (US$M)</t>
  </si>
  <si>
    <t xml:space="preserve">vs base (US$M)</t>
  </si>
  <si>
    <t xml:space="preserve">Breakeven</t>
  </si>
  <si>
    <t xml:space="preserve">Aurora EV FY30 (US$M)</t>
  </si>
  <si>
    <t xml:space="preserve">NZD weak</t>
  </si>
  <si>
    <t xml:space="preserve">Base (house view FY30)</t>
  </si>
  <si>
    <t xml:space="preserve">BREAKEVEN</t>
  </si>
  <si>
    <t xml:space="preserve">NZD strong</t>
  </si>
  <si>
    <t xml:space="preserve">FX drives the USD headline (Halberd reporting convention); NZD value is constant (NZ$625.6M FY30). Aurora EV USD scales identically. Breakeven = house-view FY30 rate 0.625 (central financial assumptions FX_Rates_Forecast).</t>
  </si>
  <si>
    <t xml:space="preserve">2.  Price-tier trajectory — FR premium over barn, FY30 (price response modeled; output: market value NZ$M)</t>
  </si>
  <si>
    <t xml:space="preserve">FR premium (FY30)</t>
  </si>
  <si>
    <t xml:space="preserve">vs base (NZ$M)</t>
  </si>
  <si>
    <t xml:space="preserve">Aurora FR EBITDA-at-risk (NZ$M)</t>
  </si>
  <si>
    <t xml:space="preserve">Premium holds (IM claim)</t>
  </si>
  <si>
    <t xml:space="preserve">Base compression</t>
  </si>
  <si>
    <t xml:space="preserve">Hard collapse</t>
  </si>
  <si>
    <t xml:space="preserve">Breakeven (FR capex sub-economic)</t>
  </si>
  <si>
    <t xml:space="preserve">Price response modeled (§3.1): FR value = FR dozen x barn gate x (1+premium). IM claims 30%+ sustained (contested); expert/survey -&gt; ~10% (base) or ~5% (collapse). Breakeven ~8%: below this FR conversion capex (NZ$58-65/bird) is sub-economic vs barn (NZ$45-50) — FR converters squeezed. Aurora FR EBITDA-at-risk uses Aurora FR dozen x margin.</t>
  </si>
  <si>
    <t xml:space="preserve">3.  Conversion / transition timing (output: Aurora EBITDA-at-risk NZ$M pa; breakeven = consents &lt;= Q1 2026)</t>
  </si>
  <si>
    <t xml:space="preserve">Slippage (months)</t>
  </si>
  <si>
    <t xml:space="preserve">Aurora colony vol at risk (M doz)</t>
  </si>
  <si>
    <t xml:space="preserve">On-time (consents Q4 2025)</t>
  </si>
  <si>
    <t xml:space="preserve">+12-month slippage</t>
  </si>
  <si>
    <t xml:space="preserve">+24-month slippage</t>
  </si>
  <si>
    <t xml:space="preserve">Breakeven (consents &lt;= Q1 2026)</t>
  </si>
  <si>
    <t xml:space="preserve">Runway to end-2027 ~19mo (Calthorpe P2). Consents 5-10.5mo + build 14-16mo + DOC 6-9mo. Slippage -&gt; colony not converted by deadline -&gt; Foodstuffs delisting -&gt; Aurora colony retail-access loss (~1.9M dox at risk) + capex overrun. EBITDA-at-risk directional (Calthorpe P4). Breakeven: consents lodged by Q1 2026.</t>
  </si>
  <si>
    <t xml:space="preserve">4.  Cost-side — feed grain spike (output: Aurora EBITDA hit NZ$M/qtr; transient, 4-6mo pass-through lag)</t>
  </si>
  <si>
    <t xml:space="preserve">Grain spike (%)</t>
  </si>
  <si>
    <t xml:space="preserve">Aurora EBITDA hit (NZ$M/qtr)</t>
  </si>
  <si>
    <t xml:space="preserve">Margin compression (bps)</t>
  </si>
  <si>
    <t xml:space="preserve">Base (no spike)</t>
  </si>
  <si>
    <t xml:space="preserve">+10% spot grain</t>
  </si>
  <si>
    <t xml:space="preserve">+20% spot grain</t>
  </si>
  <si>
    <t xml:space="preserve">+30% spot grain</t>
  </si>
  <si>
    <t xml:space="preserve">Feed = 55-65% of variable cost (Calthorpe P7). 10% spot grain spike -&gt; 80-110 bps gross-margin hit for a quarter or two before 4-6mo retailer-contract pass-through. Aurora has no captive feed mill (4-6 weeks inventory vs Mainland 8-10) -&gt; structurally short. Breakeven: pass-through catches up. Persistent spike compounds. Feed NZ$1.85-2.10/doz.</t>
  </si>
  <si>
    <t xml:space="preserve">5.  Cost-side — electricity step-up FY28 (output: Aurora EBITDA hit NZ$M pa; persistent)</t>
  </si>
  <si>
    <t xml:space="preserve">Elec step-up (%)</t>
  </si>
  <si>
    <t xml:space="preserve">Aurora EBITDA hit (NZ$M pa)</t>
  </si>
  <si>
    <t xml:space="preserve">Margin headwind (bps)</t>
  </si>
  <si>
    <t xml:space="preserve">Base (pre-stepup, FY24-27)</t>
  </si>
  <si>
    <t xml:space="preserve">FY28 step-up (+18-22%)</t>
  </si>
  <si>
    <t xml:space="preserve">Breakeven (tariff renewed pre-spike)</t>
  </si>
  <si>
    <t xml:space="preserve">Electricity = 8-12% of variable cost (barn/colony; Calthorpe P7). 18-20% cumulative inflation CY24-26 -&gt; 150-220 bps headwind. Aurora tariff renewed 2024 at pre-spike rates, expires late 2027 -&gt; 2027-28 cost step-up right as Phase-2 barn load ramps. Breakeven: tariff renewed pre-spike (Aurora's 2024 renewal captured this to late 2027).</t>
  </si>
  <si>
    <t xml:space="preserve">6.  Supply-side — day-old chick (DOC) delay (output: Aurora colony volume at risk, M doz)</t>
  </si>
  <si>
    <t xml:space="preserve">DOC delay (months)</t>
  </si>
  <si>
    <t xml:space="preserve">Colony vol at risk (M doz)</t>
  </si>
  <si>
    <t xml:space="preserve">vs base (M doz)</t>
  </si>
  <si>
    <t xml:space="preserve">On schedule</t>
  </si>
  <si>
    <t xml:space="preserve">+1 quarter DOC delay</t>
  </si>
  <si>
    <t xml:space="preserve">+2 quarter DOC delay</t>
  </si>
  <si>
    <t xml:space="preserve">Breakeven (DOC contract secured)</t>
  </si>
  <si>
    <t xml:space="preserve">DOC supply 6-9 months order-to-delivery, no buffer (Calthorpe P2/P7). 3 global breeder-genetics firms (EW Group ~75-80%); NZ via Northern Hylines (Wellsford) + Henergy Cambridge. Aurora buys point-of-lay pullets from Northern Hylines + spot. DOC delay pushes bird-in-barn past deadline -&gt; colony retail-access risk. Breakeven: DOC contract secured ahead of build.</t>
  </si>
  <si>
    <t xml:space="preserve">7.  Supply-side — HPAI recurrence (output: sector EBITDA-at-risk NZ$M; biosecurity overhead)</t>
  </si>
  <si>
    <t xml:space="preserve">Properties</t>
  </si>
  <si>
    <t xml:space="preserve">Sector EBITDA-at-risk (NZ$M)</t>
  </si>
  <si>
    <t xml:space="preserve">Supply impact</t>
  </si>
  <si>
    <t xml:space="preserve">Contained (base, HPAI-free)</t>
  </si>
  <si>
    <t xml:space="preserve">0</t>
  </si>
  <si>
    <t xml:space="preserve">Single-property recurrence</t>
  </si>
  <si>
    <t xml:space="preserve">1</t>
  </si>
  <si>
    <t xml:space="preserve">low</t>
  </si>
  <si>
    <t xml:space="preserve">Multi-property outbreak</t>
  </si>
  <si>
    <t xml:space="preserve">2+</t>
  </si>
  <si>
    <t xml:space="preserve">2.0-5.0+</t>
  </si>
  <si>
    <t xml:space="preserve">high</t>
  </si>
  <si>
    <t xml:space="preserve">NZ H7N6 (Nov-Dec 2024) = single Otago free-range property, culled &amp; stamped out; HPAI-free resumed 24 Apr 2025 (WOAH self-decl). No national supply shock; biosecurity overhead persists. Recurrence (esp. multi-property) -&gt; culls, repopulation delay (DOC lead time), cleaning, regional tightness. Breakeven: HPAI-free maintained. Unlike US/EU, NZ has no ongoing HPAI price-support cycle.</t>
  </si>
  <si>
    <t xml:space="preserve">Aurora Eggs — flock, financials, EBITDA bridge &amp; comp-haircut valuation</t>
  </si>
  <si>
    <t xml:space="preserve">Incorporates Aurora flock data (private; triangulated). Financials are management IM (unverified — pre-LOI). Valuation uses Halberd comp-haircut method (§1.1). No invest/pass verdict — IC owns the verdict.</t>
  </si>
  <si>
    <t xml:space="preserve">1.  Flock &amp; footprint (private; triangulated)</t>
  </si>
  <si>
    <t xml:space="preserve">Aurora layer flock (hens)</t>
  </si>
  <si>
    <t xml:space="preserve">Aurora website + Hartley Pearce (~610k birds).</t>
  </si>
  <si>
    <t xml:space="preserve">Sites</t>
  </si>
  <si>
    <t xml:space="preserve">2</t>
  </si>
  <si>
    <t xml:space="preserve">Waikato (NI, since 1958) + Canterbury/Selwyn (SI, since 1989).</t>
  </si>
  <si>
    <t xml:space="preserve">  Mix — colony</t>
  </si>
  <si>
    <t xml:space="preserve">  Mix — barn</t>
  </si>
  <si>
    <t xml:space="preserve">  Mix — free-range</t>
  </si>
  <si>
    <t xml:space="preserve">Calthorpe P1 (Mark: 40-30-30); IM S4 (FR 30%). ~50%+ of FR pack = commodity FR.</t>
  </si>
  <si>
    <t xml:space="preserve">Colony birds at risk (40% of flock)</t>
  </si>
  <si>
    <t xml:space="preserve">~244k birds -&gt; conversion capex ~NZ$13.4M (Calthorpe P2).</t>
  </si>
  <si>
    <t xml:space="preserve">2.  Financials — management IM (unverified); FY22-24A + IM forecast FY25-30E</t>
  </si>
  <si>
    <t xml:space="preserve">NZ$M unless noted</t>
  </si>
  <si>
    <t xml:space="preserve">Revenue (NZ$M)</t>
  </si>
  <si>
    <t xml:space="preserve">EBITDA reported (NZ$M)</t>
  </si>
  <si>
    <t xml:space="preserve">EBITDA margin reported</t>
  </si>
  <si>
    <t xml:space="preserve">Volume (M dozen)</t>
  </si>
  <si>
    <t xml:space="preserve">Revenue / dozen (NZ$)</t>
  </si>
  <si>
    <t xml:space="preserve">EBITDA adj FY24 (NZ$M)</t>
  </si>
  <si>
    <t xml:space="preserve">Revenue/dozen FY24 = NZ$6.46 — WELL ABOVE the gate-price blend (~NZ$4.17/doz: Aurora mix x tier gate x channel). Open question: is Aurora volume understated, does revenue include grading/packing/DTC uplift, or is the IM revenue optimistic? Audited financials needed. Adj EBITDA NZ$12.6M (14.9%) &gt;13% benchmark -&gt; addback scrutiny (Pacific Agri).</t>
  </si>
  <si>
    <t xml:space="preserve">3.  Volume-share triangulation (#2 by volume; additive to public roster)</t>
  </si>
  <si>
    <t xml:space="preserve">Measure</t>
  </si>
  <si>
    <t xml:space="preserve">Aurora share</t>
  </si>
  <si>
    <t xml:space="preserve">Denominator</t>
  </si>
  <si>
    <t xml:space="preserve">Volume share (bottom-up flock 3.75M)</t>
  </si>
  <si>
    <t xml:space="preserve">Production (M doz)</t>
  </si>
  <si>
    <t xml:space="preserve">Calthorpe P3; this model (15.5%)</t>
  </si>
  <si>
    <t xml:space="preserve">Volume share (Calthorpe triangulated)</t>
  </si>
  <si>
    <t xml:space="preserve">National flock</t>
  </si>
  <si>
    <t xml:space="preserve">Calthorpe P3 (18% on official base)</t>
  </si>
  <si>
    <t xml:space="preserve">Retail-channel revenue share</t>
  </si>
  <si>
    <t xml:space="preserve">Retail revenue</t>
  </si>
  <si>
    <t xml:space="preserve">Calthorpe P3 (~22-23%; more retail-concentrated)</t>
  </si>
  <si>
    <t xml:space="preserve">Revenue share of producer gate rev</t>
  </si>
  <si>
    <t xml:space="preserve">All-channel gate rev</t>
  </si>
  <si>
    <t xml:space="preserve">This model (~23%)</t>
  </si>
  <si>
    <t xml:space="preserve">Aurora #2 by volume behind Mainland (27%), ahead of Heyden (13%), Better (9%), Zeagold (7%), Henergy (6%). But #4/#5 on integration depth (no captive feed mill, no captive breeder, no industrial adjacency). Revenue share &gt; volume share because Aurora is retail-concentrated (Calthorpe P3/P6).</t>
  </si>
  <si>
    <t xml:space="preserve">4.  EBITDA bridge &amp; benchmark (Pacific Agri; analytical standards)</t>
  </si>
  <si>
    <t xml:space="preserve">Margin</t>
  </si>
  <si>
    <t xml:space="preserve">EBITDA reported FY24</t>
  </si>
  <si>
    <t xml:space="preserve">IM S2 (10.8M; 12.8%) — sits in 10-12% cluster</t>
  </si>
  <si>
    <t xml:space="preserve">+ Adjustments / addbacks</t>
  </si>
  <si>
    <t xml:space="preserve">IM 'adjusted' (1.8M; +2.1pp) — schedule in data room, UNVERIFIED</t>
  </si>
  <si>
    <t xml:space="preserve">EBITDA adjusted FY24</t>
  </si>
  <si>
    <t xml:space="preserve">IM S2 (12.6M; 14.9%) — &gt;13% addback threshold</t>
  </si>
  <si>
    <t xml:space="preserve">Benchmark cluster (most producers)</t>
  </si>
  <si>
    <t xml:space="preserve">Pacific Agri (10-12%)</t>
  </si>
  <si>
    <t xml:space="preserve">Benchmark range</t>
  </si>
  <si>
    <t xml:space="preserve">Pacific Agri (8-15%)</t>
  </si>
  <si>
    <t xml:space="preserve">Reported 12.8% sits in the 10-12% cluster. Adjusted 14.9% exceeds the 13% threshold that Pacific Agri flags for addback scrutiny — adjustments must survive an audit. Mainland trades 14-16% with the full integration stack; Aurora at 12.8% is mid-pack (Calthorpe P6).</t>
  </si>
  <si>
    <t xml:space="preserve">5.  Valuation — Halberd comp-haircut method (§1.1) vs IM asking</t>
  </si>
  <si>
    <t xml:space="preserve">Step</t>
  </si>
  <si>
    <t xml:space="preserve">Rationale / source</t>
  </si>
  <si>
    <t xml:space="preserve">Starting multiple — Cal-Maine mid-cycle</t>
  </si>
  <si>
    <t xml:space="preserve">Hartley Pearce (9-11x); Cal-Maine 10-K. US pure-play.</t>
  </si>
  <si>
    <t xml:space="preserve">Scale haircut (Cal-Maine ~50x Aurora scale)</t>
  </si>
  <si>
    <t xml:space="preserve">Analytical standards §1.1 (35-45% for &gt;10x target revenue).</t>
  </si>
  <si>
    <t xml:space="preserve">  After scale haircut</t>
  </si>
  <si>
    <t xml:space="preserve">Private-company discount</t>
  </si>
  <si>
    <t xml:space="preserve">§1.1 (20-25%; lack of marketability, governance, audited-financials uncertainty).</t>
  </si>
  <si>
    <t xml:space="preserve">  After private discount</t>
  </si>
  <si>
    <t xml:space="preserve">Risk haircut — regulatory-deadline exposure</t>
  </si>
  <si>
    <t xml:space="preserve">-0.75</t>
  </si>
  <si>
    <t xml:space="preserve">x (abs)</t>
  </si>
  <si>
    <t xml:space="preserve">§1.1: -0.5 to -1.0x absolute for named-deadline (regulatory) risk. Colony end-2027 retailer pledge.</t>
  </si>
  <si>
    <t xml:space="preserve">FAIR-VALUE MULTIPLE (range)</t>
  </si>
  <si>
    <t xml:space="preserve">x (low-high)</t>
  </si>
  <si>
    <t xml:space="preserve">Adjusted EBITDA FY24 (NZ$M)</t>
  </si>
  <si>
    <t xml:space="preserve">FAIR-VALUE EV (range, NZ$M)</t>
  </si>
  <si>
    <t xml:space="preserve">low-high</t>
  </si>
  <si>
    <t xml:space="preserve">IM asking EV (NZ$M)</t>
  </si>
  <si>
    <t xml:space="preserve">low-high (12-14x)</t>
  </si>
  <si>
    <t xml:space="preserve">NEGOTIATION GAP (NZ$M)</t>
  </si>
  <si>
    <t xml:space="preserve">IM asking - fair value</t>
  </si>
  <si>
    <t xml:space="preserve">Comp-haircut fair value ~NZ$46-52M (3.65-4.15x adj EBITDA) — the IC's anchor. IM asking NZ$130-170M (12-14x) sits well above; the spread is the negotiation gap. NZ precedent: PEP-&gt;Mainland 7.0-7.5x WITH the full integration stack; Aurora lacks the stack (no captive feed/breeder) -&gt; structural discount below 7x. A more generous strategic view (~6x, NZ$75M) still sits far below the IM ask. Do NOT use raw broker-asking multiples (§1.1). Discount-rate note: NZ WACC 10.5% (Assumptions; ±50bps sub-sector) is the rate for any DCF cross-check; the preliminary anchor here is the comp-haircut multiple (§1.1), not a DCF.</t>
  </si>
  <si>
    <t xml:space="preserve">6.  Cost structure — Aurora vs NZ benchmark (% net sales; Pacific Agri)</t>
  </si>
  <si>
    <t xml:space="preserve">Line</t>
  </si>
  <si>
    <t xml:space="preserve">Benchmark</t>
  </si>
  <si>
    <t xml:space="preserve">Aurora read</t>
  </si>
  <si>
    <t xml:space="preserve">Feed (% cash cost)</t>
  </si>
  <si>
    <t xml:space="preserve">60-65% (no captive mill)</t>
  </si>
  <si>
    <t xml:space="preserve">Largest line; Mainland has MainFeeds captive -&gt; Aurora structural disadvantage</t>
  </si>
  <si>
    <t xml:space="preserve">8-12%</t>
  </si>
  <si>
    <t xml:space="preserve">Automation lever; Aurora mid-pack</t>
  </si>
  <si>
    <t xml:space="preserve">4-6%</t>
  </si>
  <si>
    <t xml:space="preserve">Huhtamaki Otahuhu concentrated</t>
  </si>
  <si>
    <t xml:space="preserve">Distribution (% net sales)</t>
  </si>
  <si>
    <t xml:space="preserve">6-8%</t>
  </si>
  <si>
    <t xml:space="preserve">Two-site footprint; route consolidation lever</t>
  </si>
  <si>
    <t xml:space="preserve">rises post-Phase-2 build</t>
  </si>
  <si>
    <t xml:space="preserve">Capex amortisation steps up with barn conversion</t>
  </si>
  <si>
    <t xml:space="preserve">EBITDA margin (cluster)</t>
  </si>
  <si>
    <t xml:space="preserve">Aurora 12.8% reported (in cluster); adj 14.9% above threshold</t>
  </si>
  <si>
    <t xml:space="preserve">7.  Competitive position summary (Calthorpe P6)</t>
  </si>
  <si>
    <t xml:space="preserve">Volume share</t>
  </si>
  <si>
    <t xml:space="preserve">#2 (18%) behind Mainland (27%)</t>
  </si>
  <si>
    <t xml:space="preserve">Real, but invisible in public analyst coverage (private)</t>
  </si>
  <si>
    <t xml:space="preserve">Integration depth</t>
  </si>
  <si>
    <t xml:space="preserve">#4/#5 (no captive feed, breeder, industrial)</t>
  </si>
  <si>
    <t xml:space="preserve">Mainland alone has full 7-stage stack; Aurora one tier down</t>
  </si>
  <si>
    <t xml:space="preserve">Brand vs private-label</t>
  </si>
  <si>
    <t xml:space="preserve">~50/50 (most PL-exposed of top-5 excl Zeagold)</t>
  </si>
  <si>
    <t xml:space="preserve">Mainland 70/30 branded; PL pressure real</t>
  </si>
  <si>
    <t xml:space="preserve">EBITDA margin</t>
  </si>
  <si>
    <t xml:space="preserve">12.8% reported (mid-pack)</t>
  </si>
  <si>
    <t xml:space="preserve">Below Mainland 14-16%; adj 14.9% flagged</t>
  </si>
  <si>
    <t xml:space="preserve">Geographic footprint</t>
  </si>
  <si>
    <t xml:space="preserve">2 sites (Waikato + Canterbury)</t>
  </si>
  <si>
    <t xml:space="preserve">Thinner than Mainland 7-farm/3-mill; concentration risk</t>
  </si>
  <si>
    <t xml:space="preserve">Channel mix</t>
  </si>
  <si>
    <t xml:space="preserve">70 retail / 25 foodservice / 5 industrial</t>
  </si>
  <si>
    <t xml:space="preserve">More retail-concentrated -&gt; higher revenue share than volume share</t>
  </si>
  <si>
    <t xml:space="preserve">Retail Value-Chain Profit Pool — where margin sits &amp; where Aurora captures</t>
  </si>
  <si>
    <t xml:space="preserve">Pacific Agri Advisory tier shares (anchor). Per-dozen unit economics from Calthorpe P4 (retailer EBITDA/dozen ~2.5x producer). Aurora captures Tier 1 (producer) + Tier 2 (in-house grading). Tension between sources flagged.</t>
  </si>
  <si>
    <t xml:space="preserve">1.  Tier shares of retail value-chain profit pool (Pacific Agri Advisory sec 4 — anchor)</t>
  </si>
  <si>
    <t xml:space="preserve">Tier</t>
  </si>
  <si>
    <t xml:space="preserve">Share (low)</t>
  </si>
  <si>
    <t xml:space="preserve">Share (mid)</t>
  </si>
  <si>
    <t xml:space="preserve">Share (high)</t>
  </si>
  <si>
    <t xml:space="preserve">Aurora captures?</t>
  </si>
  <si>
    <t xml:space="preserve">Tier 1 — primary producer (egg producer)</t>
  </si>
  <si>
    <t xml:space="preserve">YES</t>
  </si>
  <si>
    <t xml:space="preserve">Aurora core; channel-mix dependent</t>
  </si>
  <si>
    <t xml:space="preserve">Tier 2 — grader / packer / processor</t>
  </si>
  <si>
    <t xml:space="preserve">YES (in-house)</t>
  </si>
  <si>
    <t xml:space="preserve">Aurora has own grading line -&gt; captures in producer EBITDA (Calthorpe P4)</t>
  </si>
  <si>
    <t xml:space="preserve">Tier 3 — distributor / wholesaler</t>
  </si>
  <si>
    <t xml:space="preserve">No</t>
  </si>
  <si>
    <t xml:space="preserve">Producer-to-retailer direct at Aurora scale (no wholesaler)</t>
  </si>
  <si>
    <t xml:space="preserve">Tier 4 — retailer / channel</t>
  </si>
  <si>
    <t xml:space="preserve">Largest pool; Foodstuffs + Woolworths NZ capture</t>
  </si>
  <si>
    <t xml:space="preserve">  Total (check =100%)</t>
  </si>
  <si>
    <t xml:space="preserve">2.  Per-dozen unit economics — producer EBITDA vs retailer EBITDA (Calthorpe P4)</t>
  </si>
  <si>
    <t xml:space="preserve">Tier / channel (NZ$ per dozen, FY26)</t>
  </si>
  <si>
    <t xml:space="preserve">Shelf / gate</t>
  </si>
  <si>
    <t xml:space="preserve">Producer cost</t>
  </si>
  <si>
    <t xml:space="preserve">Producer EBITDA/doz</t>
  </si>
  <si>
    <t xml:space="preserve">Producer margin</t>
  </si>
  <si>
    <t xml:space="preserve">Retailer EBITDA/doz</t>
  </si>
  <si>
    <t xml:space="preserve">Free-range (retail)</t>
  </si>
  <si>
    <t xml:space="preserve">Assumptions!$B$43</t>
  </si>
  <si>
    <t xml:space="preserve">n/a</t>
  </si>
  <si>
    <t xml:space="preserve">FR shelf 8.50, gate 5.40; retailer net ~22-28% of shelf</t>
  </si>
  <si>
    <t xml:space="preserve">Barn (retail)</t>
  </si>
  <si>
    <t xml:space="preserve">Assumptions!$B$44</t>
  </si>
  <si>
    <t xml:space="preserve">Barn shelf 7.00, gate 4.50</t>
  </si>
  <si>
    <t xml:space="preserve">Colony (retail)</t>
  </si>
  <si>
    <t xml:space="preserve">Assumptions!$B$45</t>
  </si>
  <si>
    <t xml:space="preserve">Colony shelf 5.60, gate 3.40; thinnest producer $/doz</t>
  </si>
  <si>
    <t xml:space="preserve">Foodservice (barn into FS)</t>
  </si>
  <si>
    <t xml:space="preserve">Distributor +12-18% on gate; operator margin compounds</t>
  </si>
  <si>
    <t xml:space="preserve">Lowest gate; processor margin layer</t>
  </si>
  <si>
    <t xml:space="preserve">Retailer EBITDA/dozen ~2.5x producer EBITDA/dozen on the same product (Calthorpe P4). Retail is structurally the highest-margin, asset-light step; the producer is asset-heavy, capital-intensive, low-margin per dozen. Colony is double-jeopardy (2027 access risk + thinnest $/doz).</t>
  </si>
  <si>
    <t xml:space="preserve">3.  Dollar allocation of retail value-chain profit pool (FY24, indicative — pool definition contested)</t>
  </si>
  <si>
    <t xml:space="preserve">Building block</t>
  </si>
  <si>
    <t xml:space="preserve">Retail value (shelf), FY24 — top-down</t>
  </si>
  <si>
    <t xml:space="preserve">Market_Sizing top-down retail (analyst anchor $459M).</t>
  </si>
  <si>
    <t xml:space="preserve">Retailer EBITDA (est., net 25% of shelf)</t>
  </si>
  <si>
    <t xml:space="preserve">Calthorpe P4 net retailer margin 22-28% of shelf (~$2.00/doz).</t>
  </si>
  <si>
    <t xml:space="preserve">Producer gate revenue (all-channel), FY24</t>
  </si>
  <si>
    <t xml:space="preserve">Market_Sizing producer gate revenue (~$363M).</t>
  </si>
  <si>
    <t xml:space="preserve">Producer EBITDA (est., 11% of gate rev)</t>
  </si>
  <si>
    <t xml:space="preserve">Pacific Agri cluster 10-12% (mid 11%).</t>
  </si>
  <si>
    <t xml:space="preserve">Retailer / producer EBITDA ratio</t>
  </si>
  <si>
    <t xml:space="preserve">Compare Calthorpe P4 ~2.5x. Pool-definition tension — see note.</t>
  </si>
  <si>
    <t xml:space="preserve">TENSION (flag for confirmatory DD): Pacific Agri assigns the producer 30-40% of the value-chain PROFIT pool and the retailer 35-50%. But Calthorpe P4's per-dozen economics imply the retailer captures ~2.5x the producer's EBITDA per dozen -&gt; a retailer profit share materially above 35-50%. The two sources disagree on the retailer's share of profit. The model's implied producer EBITDA (~$40M all-channel) is also below the 30-40% pool share Pacific Agri implies. Resolve in confirmatory DD: reconcile Pacific Agri's pool definition vs Calthorpe's transaction-level unit economics. Aurora captures Tier 1 + Tier 2 (in-house grading) only.</t>
  </si>
  <si>
    <t xml:space="preserve">Preliminary outside-in (pre-LOI): findings, risks and open questions carry equal weight. No invest/pass verdict. Items the deal team must resolve in confirmatory DD before any LOI. Organised by Vivian Holst's three hypotheses + financials/concentration/capex.</t>
  </si>
  <si>
    <t xml:space="preserve">A.  Contested data points surfaced in this model (sources disagree — do not normalize)</t>
  </si>
  <si>
    <t xml:space="preserve">#</t>
  </si>
  <si>
    <t xml:space="preserve">Topic</t>
  </si>
  <si>
    <t xml:space="preserve">What is contested</t>
  </si>
  <si>
    <t xml:space="preserve">Sources in conflict</t>
  </si>
  <si>
    <t xml:space="preserve">Model treatment</t>
  </si>
  <si>
    <t xml:space="preserve">Volume base (M dozen)</t>
  </si>
  <si>
    <t xml:space="preserve">Consumption (pop x pcc) ~100M vs production (flock x lay) ~84M vs scan-data retail ~100M annualised — three different sizings; scan (reconciled ±2%) implies retail ~100M, exceeding total production.</t>
  </si>
  <si>
    <t xml:space="preserve">Antipodean briefing; Calthorpe P3; RetailIQ scan; USDA</t>
  </si>
  <si>
    <t xml:space="preserve">All three surfaced; bottom-up used for volume share, top-down for retail share; scan cross-check flagged.</t>
  </si>
  <si>
    <t xml:space="preserve">Production-system mix</t>
  </si>
  <si>
    <t xml:space="preserve">Official 2022 baseline 33/33/34 (colony/barn/FR) vs current ~40/40/20 — 'colony compressed' yet colony 40%? barn 'came up some' yet 20%? Internal inconsistency in self-report.</t>
  </si>
  <si>
    <t xml:space="preserve">NAWAC/EPFNZ 2022; Calthorpe P1; Antipodean briefing</t>
  </si>
  <si>
    <t xml:space="preserve">2022 = formal reference; 40/40/20 = leading estimate, flagged; forward path = managed conversion.</t>
  </si>
  <si>
    <t xml:space="preserve">Free-range premium</t>
  </si>
  <si>
    <t xml:space="preserve">IM claims 30%+ over barn sustained; expert/survey show compression 18%-&gt;10% by FY30 (barn supply + cost-of-living trade-down).</t>
  </si>
  <si>
    <t xml:space="preserve">Aurora IM S4; EPFNZ; Calthorpe P5; ACII</t>
  </si>
  <si>
    <t xml:space="preserve">Compression modeled (fr_prem path); IM claim shown as contested upside; price-tier sensitivity.</t>
  </si>
  <si>
    <t xml:space="preserve">Transition / Sensitivities</t>
  </si>
  <si>
    <t xml:space="preserve">Aurora per-capita growth</t>
  </si>
  <si>
    <t xml:space="preserve">IM claims 1.5-2.0% pa per-capita; ACII survey says +0.6-0.8% pa. IM volume 5-7% pa implies ~4-5pp share gain pa.</t>
  </si>
  <si>
    <t xml:space="preserve">Aurora IM S3; ACII Wave 11; Calthorpe P5</t>
  </si>
  <si>
    <t xml:space="preserve">Survey base used; IM claim benchmarked vs flat-share model (gap ~NZ$30M by FY30).</t>
  </si>
  <si>
    <t xml:space="preserve">Aurora conversion capex</t>
  </si>
  <si>
    <t xml:space="preserve">IM NZ$8-10M vs Calthorpe NZ$13.4M (244k birds x NZ$55). ~35% gap.</t>
  </si>
  <si>
    <t xml:space="preserve">Aurora IM S5; Calthorpe P2</t>
  </si>
  <si>
    <t xml:space="preserve">Both shown; Calthorpe used for sizing; IM flagged low.</t>
  </si>
  <si>
    <t xml:space="preserve">Transition / Aurora</t>
  </si>
  <si>
    <t xml:space="preserve">Aurora revenue / dozen</t>
  </si>
  <si>
    <t xml:space="preserve">IM NZ$6.46/doz vs gate-price blend ~NZ$4.17/doz (mix x tier gate x channel). +55% gap — volume understated? revenue includes grading/DTC uplift? IM optimistic?</t>
  </si>
  <si>
    <t xml:space="preserve">Aurora IM S2; Calthorpe P4 unit economics</t>
  </si>
  <si>
    <t xml:space="preserve">Flagged; audited P&amp;L needed to reconcile.</t>
  </si>
  <si>
    <t xml:space="preserve">Aurora EBITDA quality</t>
  </si>
  <si>
    <t xml:space="preserve">Reported 12.8% (in 10-12% cluster) vs adjusted 14.9% (&gt;13% addback-scrutiny threshold). Adjustment schedule in data room, unverified.</t>
  </si>
  <si>
    <t xml:space="preserve">Aurora IM S2; Pacific Agri benchmark</t>
  </si>
  <si>
    <t xml:space="preserve">Both shown; adj flagged; addbacks must survive audit.</t>
  </si>
  <si>
    <t xml:space="preserve">Aurora volume share</t>
  </si>
  <si>
    <t xml:space="preserve">15.5% (bottom-up flock 3.75M) vs 18% (Calthorpe, official base) — depends on flock denominator.</t>
  </si>
  <si>
    <t xml:space="preserve">Calthorpe P3; Hartley Pearce; this model</t>
  </si>
  <si>
    <t xml:space="preserve">15.5% on bottom-up; 18% cited; both surfaced.</t>
  </si>
  <si>
    <t xml:space="preserve">Aurora / Market_Sizing</t>
  </si>
  <si>
    <t xml:space="preserve">Profit-pool shares</t>
  </si>
  <si>
    <t xml:space="preserve">Pacific Agri: producer 30-40%, retailer 35-50%. Calthorpe P4: retailer EBITDA/doz ~2.5x producer -&gt; retailer share &gt;35-50%.</t>
  </si>
  <si>
    <t xml:space="preserve">Pacific Agri sec 4; Calthorpe P4</t>
  </si>
  <si>
    <t xml:space="preserve">Pacific Agri anchored; tension flagged.</t>
  </si>
  <si>
    <t xml:space="preserve">Aurora EV / multiple</t>
  </si>
  <si>
    <t xml:space="preserve">IM asking NZ$130-170M (12-14x) vs comp-haircut fair value ~NZ$46-52M (3.65-4.15x). ~NZ$84-118M negotiation gap.</t>
  </si>
  <si>
    <t xml:space="preserve">Aurora IM S7; Halberd §1.1 haircuts; PEP-Mainland precedent</t>
  </si>
  <si>
    <t xml:space="preserve">Comp-haircut fair value = IC anchor; IM ask = negotiation gap.</t>
  </si>
  <si>
    <t xml:space="preserve">B.  Confirmatory-DD open questions (to resolve before LOI)</t>
  </si>
  <si>
    <t xml:space="preserve">Hypothesis / theme</t>
  </si>
  <si>
    <t xml:space="preserve">Open question</t>
  </si>
  <si>
    <t xml:space="preserve">Evidence required</t>
  </si>
  <si>
    <t xml:space="preserve">Sized impact (directional)</t>
  </si>
  <si>
    <t xml:space="preserve">Owner</t>
  </si>
  <si>
    <t xml:space="preserve">Vivian H1 — FR premium</t>
  </si>
  <si>
    <t xml:space="preserve">What are NZ retailers actually paying for free-range vs barn at the gate (transaction prices, not shelf)? Is the premium compressing?</t>
  </si>
  <si>
    <t xml:space="preserve">Audited supplier invoices / contract price cards from Foodstuffs + Woolworths NZ; 24-mo gate-price series.</t>
  </si>
  <si>
    <t xml:space="preserve">Premium 30%-&gt;10% swings Aurora FR EBITDA ~NZ$0.1-0.5M pa; market value ~NZ$8-31M.</t>
  </si>
  <si>
    <t xml:space="preserve">Priya Iyer (Commercial)</t>
  </si>
  <si>
    <t xml:space="preserve">Vivian H2 — conversion timeline</t>
  </si>
  <si>
    <t xml:space="preserve">Have resource consents been lodged? Notified? Are DOC supply contracts secured? What is the realistic bird-in-barn date vs end-2027?</t>
  </si>
  <si>
    <t xml:space="preserve">Consent applications + council correspondence; DOC contracts; build contractor programme; capex schedule.</t>
  </si>
  <si>
    <t xml:space="preserve">Slippage -&gt; Aurora EBITDA-at-risk ~NZ$1.5-2.5M pa + capex overrun; retail-access loss.</t>
  </si>
  <si>
    <t xml:space="preserve">Marcus Vale (Operations)</t>
  </si>
  <si>
    <t xml:space="preserve">Vivian H3 — volume share</t>
  </si>
  <si>
    <t xml:space="preserve">Is Aurora genuinely #2 at ~17-19% volume, additive to the public roster? What is Aurora's win-rate vs the long-tail cage-egg exit?</t>
  </si>
  <si>
    <t xml:space="preserve">Audited top-10 customer list; producer-by-producer flock census; Aurora pipeline vs exiting producers.</t>
  </si>
  <si>
    <t xml:space="preserve">Share capture is the swing factor (~4-5pp pa to hit IM 5-7% growth); ~NZ$30M revenue gap by FY30.</t>
  </si>
  <si>
    <t xml:space="preserve">Daniel Reyes / Maya Okonkwo</t>
  </si>
  <si>
    <t xml:space="preserve">Financials (audited)</t>
  </si>
  <si>
    <t xml:space="preserve">Reconcile revenue/dozen (NZ$6.46 vs ~NZ$4.17 gate blend); validate the NZ$1.8M addback to adj EBITDA; confirm volume 13.1M dozen.</t>
  </si>
  <si>
    <t xml:space="preserve">Audited FY22-24 P&amp;L + volume; addback schedule; management QoE.</t>
  </si>
  <si>
    <t xml:space="preserve">Adj EBITDA NZ$12.6M vs reported NZ$10.8M -&gt; valuation anchor moves ~17%.</t>
  </si>
  <si>
    <t xml:space="preserve">Daniel Reyes</t>
  </si>
  <si>
    <t xml:space="preserve">Customer concentration</t>
  </si>
  <si>
    <t xml:space="preserve">Top-10 customer share; Foodstuffs vs Woolworths NZ split; contract terms, duration, PL vs branded; renewal timing vs 2027 deadline.</t>
  </si>
  <si>
    <t xml:space="preserve">Audited customer list + contract summaries; PL tender docs.</t>
  </si>
  <si>
    <t xml:space="preserve">Concentration &gt;50% triggers risk haircut (§1.1); Vivian's #1 confirmatory priority.</t>
  </si>
  <si>
    <t xml:space="preserve">Priya Iyer</t>
  </si>
  <si>
    <t xml:space="preserve">Capex &amp; funding</t>
  </si>
  <si>
    <t xml:space="preserve">Conversion capex NZ$8-10M (IM) vs NZ$13.4M (expert) — reconcile; funding source; how the partial-sale proceeds fund the programme.</t>
  </si>
  <si>
    <t xml:space="preserve">Capex budget + quotes; consent/DOC/build schedule; funding plan.</t>
  </si>
  <si>
    <t xml:space="preserve">Capex gap ~NZ$3-5M; affects leverage + deal proceeds use.</t>
  </si>
  <si>
    <t xml:space="preserve">Marcus Vale</t>
  </si>
  <si>
    <t xml:space="preserve">Valuation</t>
  </si>
  <si>
    <t xml:space="preserve">Validate comp-haircut fair value (~NZ$46-52M) vs IM ask (NZ$130-170M); test NZ-precedent multiple with/without integration stack.</t>
  </si>
  <si>
    <t xml:space="preserve">PEP-Mainland 2025 detail; Cal-Maine/Inghams scale-adjusted; Aurora integration-depth diligence.</t>
  </si>
  <si>
    <t xml:space="preserve">~NZ$84-118M negotiation gap; deal economics hinge on entry multiple.</t>
  </si>
  <si>
    <t xml:space="preserve">Daniel Reyes / Hugh Pemberton</t>
  </si>
  <si>
    <t xml:space="preserve">Demand &amp; substitution</t>
  </si>
  <si>
    <t xml:space="preserve">Will mainstream retailers range a chilled plant-based egg SKU (FY28-30 displacement 1.5-2.5%)? Cost-of-living trade-down trajectory.</t>
  </si>
  <si>
    <t xml:space="preserve">Foodstuffs/Woolworths NZ assortment plans; ACII Wave 12 update.</t>
  </si>
  <si>
    <t xml:space="preserve">Downside ~3-4% of market value by FY30; specialty premium durable.</t>
  </si>
  <si>
    <t xml:space="preserve">Vivian Holst</t>
  </si>
  <si>
    <t xml:space="preserve">Supply-side / biosecurity</t>
  </si>
  <si>
    <t xml:space="preserve">DOC supply concentration risk; HPAI recurrence contingency; electricity tariff renewal (late 2027) terms.</t>
  </si>
  <si>
    <t xml:space="preserve">DOC contracts; biosecurity plan; electricity contract + renewal terms.</t>
  </si>
  <si>
    <t xml:space="preserve">Feed 10% spike ~NZ$0.8M/qtr; elec step-up ~NZ$1.6M pa; HPAI recurrence NZ$0.5-5M+.</t>
  </si>
  <si>
    <t xml:space="preserve">Stage discipline (analytical standards §9.2): this is preliminary outside-in DD. The IC owns the invest/pass verdict; the deal team owns the evidentiary surface. These open questions define the confirmatory-DD scope. Theo Lindgren / retired-consultant numbers were NOT imported into the bottom-up (per interview-note guidance) — Calthorpe anchors used throughout.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</si>
</sst>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.0%"/>
    <numFmt numFmtId="167" formatCode="#,##0"/>
    <numFmt numFmtId="168" formatCode="0.00%"/>
    <numFmt numFmtId="169" formatCode="_-&quot;NZ$&quot;* #,##0.0_-;_-&quot;NZ$&quot;* \(#,##0.0\)_-;_-&quot;NZ$&quot;* \-??_-;_-@_-"/>
    <numFmt numFmtId="170" formatCode="#,##0.0"/>
    <numFmt numFmtId="171" formatCode="0.0\x"/>
    <numFmt numFmtId="172" formatCode="_-\$* #,##0.0_-;_-\$* \(#,##0.0\)_-;_-\$* \-??_-;_-@_-"/>
    <numFmt numFmtId="173" formatCode="[$$-409]#,##0.00;[RED]\-[$$-409]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color rgb="FF808080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0"/>
      <color rgb="FF1F4E79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i val="true"/>
      <sz val="9"/>
      <color rgb="FF808080"/>
      <name val="Calibri"/>
      <family val="0"/>
      <charset val="1"/>
    </font>
    <font>
      <sz val="10"/>
      <color rgb="FF1F4E79"/>
      <name val="Calibri"/>
      <family val="0"/>
      <charset val="1"/>
    </font>
    <font>
      <sz val="10"/>
      <color rgb="FF006100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305496"/>
      </patternFill>
    </fill>
    <fill>
      <patternFill patternType="solid">
        <fgColor rgb="FFBDD7EE"/>
        <bgColor rgb="FFD9D9D9"/>
      </patternFill>
    </fill>
    <fill>
      <patternFill patternType="solid">
        <fgColor rgb="FF305496"/>
        <bgColor rgb="FF1F4E79"/>
      </patternFill>
    </fill>
    <fill>
      <patternFill patternType="solid">
        <fgColor rgb="FFD9D9D9"/>
        <bgColor rgb="FFBDD7EE"/>
      </patternFill>
    </fill>
    <fill>
      <patternFill patternType="solid">
        <fgColor rgb="FFDDEBF7"/>
        <bgColor rgb="FFD9D9D9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FF2CC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666699"/>
      <rgbColor rgb="FF969696"/>
      <rgbColor rgb="FF1F4E79"/>
      <rgbColor rgb="FF2E7D32"/>
      <rgbColor rgb="FF003300"/>
      <rgbColor rgb="FF333300"/>
      <rgbColor rgb="FF993300"/>
      <rgbColor rgb="FF993366"/>
      <rgbColor rgb="FF30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05496"/>
    <pageSetUpPr fitToPage="false"/>
  </sheetPr>
  <dimension ref="A2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8" min="3" style="0" width="22"/>
  </cols>
  <sheetData>
    <row r="2" customFormat="false" ht="15" hidden="false" customHeight="false" outlineLevel="0" collapsed="false">
      <c r="B2" s="1" t="s">
        <v>0</v>
      </c>
    </row>
    <row r="3" customFormat="false" ht="30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B4" s="3" t="s">
        <v>2</v>
      </c>
      <c r="C4" s="3"/>
      <c r="D4" s="3"/>
      <c r="E4" s="3"/>
      <c r="F4" s="3"/>
      <c r="G4" s="3"/>
      <c r="H4" s="3"/>
    </row>
    <row r="6" customFormat="false" ht="45.75" hidden="false" customHeight="true" outlineLevel="0" collapsed="false">
      <c r="B6" s="4" t="s">
        <v>3</v>
      </c>
      <c r="C6" s="5" t="s">
        <v>4</v>
      </c>
      <c r="D6" s="5"/>
      <c r="E6" s="5"/>
      <c r="F6" s="5"/>
      <c r="G6" s="5"/>
      <c r="H6" s="5"/>
    </row>
    <row r="7" customFormat="false" ht="45.75" hidden="false" customHeight="true" outlineLevel="0" collapsed="false">
      <c r="B7" s="4" t="s">
        <v>5</v>
      </c>
      <c r="C7" s="5" t="s">
        <v>6</v>
      </c>
      <c r="D7" s="5"/>
      <c r="E7" s="5"/>
      <c r="F7" s="5"/>
      <c r="G7" s="5"/>
      <c r="H7" s="5"/>
    </row>
    <row r="8" customFormat="false" ht="45.75" hidden="false" customHeight="true" outlineLevel="0" collapsed="false">
      <c r="B8" s="4" t="s">
        <v>7</v>
      </c>
      <c r="C8" s="5" t="s">
        <v>8</v>
      </c>
      <c r="D8" s="5"/>
      <c r="E8" s="5"/>
      <c r="F8" s="5"/>
      <c r="G8" s="5"/>
      <c r="H8" s="5"/>
    </row>
    <row r="9" customFormat="false" ht="45.75" hidden="false" customHeight="true" outlineLevel="0" collapsed="false">
      <c r="B9" s="4" t="s">
        <v>9</v>
      </c>
      <c r="C9" s="5" t="s">
        <v>10</v>
      </c>
      <c r="D9" s="5"/>
      <c r="E9" s="5"/>
      <c r="F9" s="5"/>
      <c r="G9" s="5"/>
      <c r="H9" s="5"/>
    </row>
    <row r="10" customFormat="false" ht="45.75" hidden="false" customHeight="true" outlineLevel="0" collapsed="false">
      <c r="B10" s="4" t="s">
        <v>11</v>
      </c>
      <c r="C10" s="5" t="s">
        <v>12</v>
      </c>
      <c r="D10" s="5"/>
      <c r="E10" s="5"/>
      <c r="F10" s="5"/>
      <c r="G10" s="5"/>
      <c r="H10" s="5"/>
    </row>
    <row r="11" customFormat="false" ht="45.75" hidden="false" customHeight="true" outlineLevel="0" collapsed="false">
      <c r="B11" s="4" t="s">
        <v>13</v>
      </c>
      <c r="C11" s="5" t="s">
        <v>14</v>
      </c>
      <c r="D11" s="5"/>
      <c r="E11" s="5"/>
      <c r="F11" s="5"/>
      <c r="G11" s="5"/>
      <c r="H11" s="5"/>
    </row>
    <row r="12" customFormat="false" ht="45.75" hidden="false" customHeight="true" outlineLevel="0" collapsed="false">
      <c r="B12" s="4" t="s">
        <v>15</v>
      </c>
      <c r="C12" s="5" t="s">
        <v>16</v>
      </c>
      <c r="D12" s="5"/>
      <c r="E12" s="5"/>
      <c r="F12" s="5"/>
      <c r="G12" s="5"/>
      <c r="H12" s="5"/>
    </row>
    <row r="14" customFormat="false" ht="15" hidden="false" customHeight="false" outlineLevel="0" collapsed="false">
      <c r="A14" s="6" t="s">
        <v>17</v>
      </c>
      <c r="B14" s="6"/>
      <c r="C14" s="6"/>
      <c r="D14" s="6"/>
      <c r="E14" s="6"/>
      <c r="F14" s="6"/>
      <c r="G14" s="6"/>
      <c r="H14" s="6"/>
    </row>
    <row r="15" customFormat="false" ht="15" hidden="false" customHeight="false" outlineLevel="0" collapsed="false">
      <c r="B15" s="7" t="s">
        <v>18</v>
      </c>
      <c r="C15" s="7" t="s">
        <v>19</v>
      </c>
      <c r="D15" s="7"/>
      <c r="E15" s="7"/>
      <c r="F15" s="7"/>
      <c r="G15" s="7"/>
      <c r="H15" s="7"/>
    </row>
    <row r="16" customFormat="false" ht="15" hidden="false" customHeight="false" outlineLevel="0" collapsed="false">
      <c r="B16" s="8" t="s">
        <v>20</v>
      </c>
      <c r="C16" s="8" t="s">
        <v>21</v>
      </c>
      <c r="D16" s="8"/>
      <c r="E16" s="8"/>
      <c r="F16" s="8"/>
      <c r="G16" s="8"/>
      <c r="H16" s="8"/>
    </row>
    <row r="17" customFormat="false" ht="15" hidden="false" customHeight="false" outlineLevel="0" collapsed="false">
      <c r="B17" s="8" t="s">
        <v>22</v>
      </c>
      <c r="C17" s="8" t="s">
        <v>23</v>
      </c>
      <c r="D17" s="8"/>
      <c r="E17" s="8"/>
      <c r="F17" s="8"/>
      <c r="G17" s="8"/>
      <c r="H17" s="8"/>
    </row>
    <row r="18" customFormat="false" ht="15" hidden="false" customHeight="false" outlineLevel="0" collapsed="false">
      <c r="B18" s="8" t="s">
        <v>24</v>
      </c>
      <c r="C18" s="8" t="s">
        <v>25</v>
      </c>
      <c r="D18" s="8"/>
      <c r="E18" s="8"/>
      <c r="F18" s="8"/>
      <c r="G18" s="8"/>
      <c r="H18" s="8"/>
    </row>
    <row r="19" customFormat="false" ht="15" hidden="false" customHeight="false" outlineLevel="0" collapsed="false">
      <c r="B19" s="8" t="s">
        <v>26</v>
      </c>
      <c r="C19" s="8" t="s">
        <v>27</v>
      </c>
      <c r="D19" s="8"/>
      <c r="E19" s="8"/>
      <c r="F19" s="8"/>
      <c r="G19" s="8"/>
      <c r="H19" s="8"/>
    </row>
    <row r="20" customFormat="false" ht="15" hidden="false" customHeight="false" outlineLevel="0" collapsed="false">
      <c r="B20" s="8" t="s">
        <v>28</v>
      </c>
      <c r="C20" s="8" t="s">
        <v>29</v>
      </c>
      <c r="D20" s="8"/>
      <c r="E20" s="8"/>
      <c r="F20" s="8"/>
      <c r="G20" s="8"/>
      <c r="H20" s="8"/>
    </row>
    <row r="21" customFormat="false" ht="15" hidden="false" customHeight="false" outlineLevel="0" collapsed="false">
      <c r="B21" s="8" t="s">
        <v>30</v>
      </c>
      <c r="C21" s="8" t="s">
        <v>31</v>
      </c>
      <c r="D21" s="8"/>
      <c r="E21" s="8"/>
      <c r="F21" s="8"/>
      <c r="G21" s="8"/>
      <c r="H21" s="8"/>
    </row>
    <row r="22" customFormat="false" ht="15" hidden="false" customHeight="false" outlineLevel="0" collapsed="false">
      <c r="B22" s="8" t="s">
        <v>15</v>
      </c>
      <c r="C22" s="8" t="s">
        <v>32</v>
      </c>
      <c r="D22" s="8"/>
      <c r="E22" s="8"/>
      <c r="F22" s="8"/>
      <c r="G22" s="8"/>
      <c r="H22" s="8"/>
    </row>
    <row r="23" customFormat="false" ht="15" hidden="false" customHeight="false" outlineLevel="0" collapsed="false">
      <c r="B23" s="8" t="s">
        <v>33</v>
      </c>
      <c r="C23" s="8" t="s">
        <v>34</v>
      </c>
      <c r="D23" s="8"/>
      <c r="E23" s="8"/>
      <c r="F23" s="8"/>
      <c r="G23" s="8"/>
      <c r="H23" s="8"/>
    </row>
    <row r="24" customFormat="false" ht="15" hidden="false" customHeight="false" outlineLevel="0" collapsed="false">
      <c r="B24" s="8" t="s">
        <v>35</v>
      </c>
      <c r="C24" s="8" t="s">
        <v>36</v>
      </c>
      <c r="D24" s="8"/>
      <c r="E24" s="8"/>
      <c r="F24" s="8"/>
      <c r="G24" s="8"/>
      <c r="H24" s="8"/>
    </row>
    <row r="25" customFormat="false" ht="15" hidden="false" customHeight="false" outlineLevel="0" collapsed="false">
      <c r="B25" s="8" t="s">
        <v>37</v>
      </c>
      <c r="C25" s="8" t="s">
        <v>38</v>
      </c>
      <c r="D25" s="8"/>
      <c r="E25" s="8"/>
      <c r="F25" s="8"/>
      <c r="G25" s="8"/>
      <c r="H25" s="8"/>
    </row>
  </sheetData>
  <mergeCells count="21">
    <mergeCell ref="B3:H3"/>
    <mergeCell ref="B4:H4"/>
    <mergeCell ref="C6:H6"/>
    <mergeCell ref="C7:H7"/>
    <mergeCell ref="C8:H8"/>
    <mergeCell ref="C9:H9"/>
    <mergeCell ref="C10:H10"/>
    <mergeCell ref="C11:H11"/>
    <mergeCell ref="C12:H12"/>
    <mergeCell ref="A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DD7EE"/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60"/>
    <col collapsed="false" customWidth="true" hidden="false" outlineLevel="0" max="5" min="5" style="0" width="12"/>
  </cols>
  <sheetData>
    <row r="1" customFormat="false" ht="25.5" hidden="false" customHeight="true" outlineLevel="0" collapsed="false">
      <c r="A1" s="9" t="s">
        <v>39</v>
      </c>
      <c r="B1" s="9"/>
      <c r="C1" s="9"/>
      <c r="D1" s="9"/>
      <c r="E1" s="9"/>
    </row>
    <row r="2" customFormat="false" ht="15" hidden="false" customHeight="false" outlineLevel="0" collapsed="false">
      <c r="A2" s="10" t="s">
        <v>40</v>
      </c>
      <c r="B2" s="10"/>
      <c r="C2" s="10"/>
      <c r="D2" s="10"/>
      <c r="E2" s="10"/>
    </row>
    <row r="4" customFormat="false" ht="15" hidden="false" customHeight="false" outlineLevel="0" collapsed="false">
      <c r="B4" s="7" t="s">
        <v>41</v>
      </c>
      <c r="C4" s="7" t="s">
        <v>42</v>
      </c>
      <c r="D4" s="7" t="s">
        <v>43</v>
      </c>
      <c r="E4" s="11" t="s">
        <v>44</v>
      </c>
    </row>
    <row r="5" customFormat="false" ht="24" hidden="false" customHeight="true" outlineLevel="0" collapsed="false">
      <c r="B5" s="12" t="s">
        <v>45</v>
      </c>
      <c r="C5" s="8" t="s">
        <v>46</v>
      </c>
      <c r="D5" s="5" t="s">
        <v>47</v>
      </c>
      <c r="E5" s="13" t="s">
        <v>48</v>
      </c>
    </row>
    <row r="6" customFormat="false" ht="24" hidden="false" customHeight="true" outlineLevel="0" collapsed="false">
      <c r="B6" s="8" t="s">
        <v>49</v>
      </c>
      <c r="C6" s="8" t="s">
        <v>50</v>
      </c>
      <c r="D6" s="5" t="s">
        <v>51</v>
      </c>
      <c r="E6" s="14" t="s">
        <v>52</v>
      </c>
    </row>
    <row r="7" customFormat="false" ht="24" hidden="false" customHeight="true" outlineLevel="0" collapsed="false">
      <c r="B7" s="15" t="s">
        <v>53</v>
      </c>
      <c r="C7" s="8" t="s">
        <v>54</v>
      </c>
      <c r="D7" s="5" t="s">
        <v>55</v>
      </c>
      <c r="E7" s="16" t="s">
        <v>56</v>
      </c>
    </row>
    <row r="8" customFormat="false" ht="24" hidden="false" customHeight="true" outlineLevel="0" collapsed="false">
      <c r="B8" s="17" t="s">
        <v>57</v>
      </c>
      <c r="C8" s="8" t="s">
        <v>58</v>
      </c>
      <c r="D8" s="5" t="s">
        <v>59</v>
      </c>
      <c r="E8" s="18" t="s">
        <v>60</v>
      </c>
    </row>
    <row r="9" customFormat="false" ht="24" hidden="false" customHeight="true" outlineLevel="0" collapsed="false">
      <c r="B9" s="19" t="s">
        <v>61</v>
      </c>
      <c r="C9" s="8" t="s">
        <v>62</v>
      </c>
      <c r="D9" s="5" t="s">
        <v>63</v>
      </c>
      <c r="E9" s="20" t="s">
        <v>64</v>
      </c>
    </row>
    <row r="10" customFormat="false" ht="24" hidden="false" customHeight="true" outlineLevel="0" collapsed="false">
      <c r="B10" s="7" t="s">
        <v>65</v>
      </c>
      <c r="C10" s="8" t="s">
        <v>66</v>
      </c>
      <c r="D10" s="5" t="s">
        <v>67</v>
      </c>
      <c r="E10" s="11" t="s">
        <v>68</v>
      </c>
    </row>
    <row r="11" customFormat="false" ht="24" hidden="false" customHeight="true" outlineLevel="0" collapsed="false">
      <c r="B11" s="21" t="s">
        <v>69</v>
      </c>
      <c r="C11" s="8" t="s">
        <v>70</v>
      </c>
      <c r="D11" s="5" t="s">
        <v>71</v>
      </c>
      <c r="E11" s="22" t="s">
        <v>72</v>
      </c>
    </row>
    <row r="12" customFormat="false" ht="24" hidden="false" customHeight="true" outlineLevel="0" collapsed="false">
      <c r="B12" s="23" t="s">
        <v>73</v>
      </c>
      <c r="C12" s="8" t="s">
        <v>74</v>
      </c>
      <c r="D12" s="5" t="s">
        <v>75</v>
      </c>
      <c r="E12" s="24" t="s">
        <v>76</v>
      </c>
    </row>
    <row r="14" customFormat="false" ht="30" hidden="false" customHeight="true" outlineLevel="0" collapsed="false">
      <c r="A14" s="25" t="s">
        <v>77</v>
      </c>
      <c r="B14" s="25"/>
      <c r="C14" s="25"/>
      <c r="D14" s="25"/>
      <c r="E14" s="25"/>
    </row>
  </sheetData>
  <mergeCells count="3">
    <mergeCell ref="A1:E1"/>
    <mergeCell ref="A2:E2"/>
    <mergeCell ref="A14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05496"/>
    <pageSetUpPr fitToPage="false"/>
  </sheetPr>
  <dimension ref="A1:N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10" min="2" style="0" width="9"/>
    <col collapsed="false" customWidth="true" hidden="false" outlineLevel="0" max="12" min="12" style="0" width="34"/>
    <col collapsed="false" customWidth="true" hidden="false" outlineLevel="0" max="13" min="13" style="0" width="13"/>
    <col collapsed="false" customWidth="true" hidden="false" outlineLevel="0" max="14" min="14" style="0" width="44"/>
  </cols>
  <sheetData>
    <row r="1" customFormat="false" ht="25.5" hidden="false" customHeight="true" outlineLevel="0" collapsed="false">
      <c r="A1" s="9" t="s">
        <v>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customFormat="false" ht="15" hidden="false" customHeight="false" outlineLevel="0" collapsed="false">
      <c r="A2" s="10" t="s">
        <v>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customFormat="false" ht="15" hidden="false" customHeight="false" outlineLevel="0" collapsed="false">
      <c r="A4" s="6" t="s">
        <v>80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15" hidden="false" customHeight="false" outlineLevel="0" collapsed="false">
      <c r="A5" s="7" t="s">
        <v>81</v>
      </c>
      <c r="B5" s="11" t="s">
        <v>82</v>
      </c>
      <c r="C5" s="11" t="s">
        <v>83</v>
      </c>
      <c r="D5" s="11" t="s">
        <v>68</v>
      </c>
      <c r="E5" s="11" t="s">
        <v>84</v>
      </c>
      <c r="F5" s="11" t="s">
        <v>85</v>
      </c>
      <c r="G5" s="11" t="s">
        <v>86</v>
      </c>
      <c r="H5" s="11" t="s">
        <v>87</v>
      </c>
      <c r="I5" s="11" t="s">
        <v>88</v>
      </c>
      <c r="J5" s="11" t="s">
        <v>89</v>
      </c>
      <c r="L5" s="7" t="s">
        <v>90</v>
      </c>
      <c r="M5" s="7" t="s">
        <v>91</v>
      </c>
      <c r="N5" s="7" t="s">
        <v>92</v>
      </c>
    </row>
    <row r="6" customFormat="false" ht="32.8" hidden="false" customHeight="false" outlineLevel="0" collapsed="false">
      <c r="A6" s="8" t="s">
        <v>93</v>
      </c>
      <c r="B6" s="26" t="n">
        <v>0.654</v>
      </c>
      <c r="C6" s="26" t="n">
        <v>0.625</v>
      </c>
      <c r="D6" s="26" t="n">
        <v>0.602</v>
      </c>
      <c r="E6" s="26" t="n">
        <v>0.585</v>
      </c>
      <c r="F6" s="26" t="n">
        <v>0.595</v>
      </c>
      <c r="G6" s="26" t="n">
        <v>0.61</v>
      </c>
      <c r="H6" s="26" t="n">
        <v>0.62</v>
      </c>
      <c r="I6" s="26" t="n">
        <v>0.625</v>
      </c>
      <c r="J6" s="26" t="n">
        <v>0.625</v>
      </c>
      <c r="L6" s="27" t="s">
        <v>94</v>
      </c>
      <c r="M6" s="21" t="s">
        <v>95</v>
      </c>
      <c r="N6" s="27" t="s">
        <v>96</v>
      </c>
    </row>
    <row r="7" customFormat="false" ht="85.05" hidden="false" customHeight="false" outlineLevel="0" collapsed="false">
      <c r="A7" s="8" t="s">
        <v>97</v>
      </c>
      <c r="B7" s="28" t="n">
        <v>0.105</v>
      </c>
      <c r="C7" s="8" t="s">
        <v>98</v>
      </c>
      <c r="D7" s="27" t="s">
        <v>99</v>
      </c>
      <c r="E7" s="21" t="s">
        <v>95</v>
      </c>
      <c r="F7" s="27" t="s">
        <v>100</v>
      </c>
    </row>
    <row r="8" customFormat="false" ht="85.05" hidden="false" customHeight="false" outlineLevel="0" collapsed="false">
      <c r="A8" s="8" t="s">
        <v>101</v>
      </c>
      <c r="B8" s="28" t="n">
        <v>0.027</v>
      </c>
      <c r="C8" s="8" t="s">
        <v>102</v>
      </c>
      <c r="D8" s="27" t="s">
        <v>103</v>
      </c>
      <c r="E8" s="21" t="s">
        <v>95</v>
      </c>
      <c r="F8" s="27" t="s">
        <v>104</v>
      </c>
    </row>
    <row r="10" customFormat="false" ht="15" hidden="false" customHeight="false" outlineLevel="0" collapsed="false">
      <c r="A10" s="6" t="s">
        <v>105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customFormat="false" ht="137.3" hidden="false" customHeight="false" outlineLevel="0" collapsed="false">
      <c r="A11" s="8" t="s">
        <v>106</v>
      </c>
      <c r="B11" s="26" t="n">
        <v>5.22</v>
      </c>
      <c r="C11" s="8" t="s">
        <v>107</v>
      </c>
      <c r="D11" s="27" t="s">
        <v>108</v>
      </c>
      <c r="E11" s="21" t="s">
        <v>109</v>
      </c>
      <c r="F11" s="27" t="s">
        <v>110</v>
      </c>
    </row>
    <row r="12" customFormat="false" ht="64.15" hidden="false" customHeight="false" outlineLevel="0" collapsed="false">
      <c r="A12" s="8" t="s">
        <v>111</v>
      </c>
      <c r="B12" s="28" t="n">
        <v>0.009</v>
      </c>
      <c r="C12" s="8" t="s">
        <v>102</v>
      </c>
      <c r="D12" s="27" t="s">
        <v>112</v>
      </c>
      <c r="E12" s="21" t="s">
        <v>113</v>
      </c>
      <c r="F12" s="27" t="s">
        <v>114</v>
      </c>
    </row>
    <row r="13" customFormat="false" ht="85.05" hidden="false" customHeight="false" outlineLevel="0" collapsed="false">
      <c r="A13" s="8" t="s">
        <v>115</v>
      </c>
      <c r="B13" s="26" t="n">
        <v>5.3</v>
      </c>
      <c r="C13" s="8" t="s">
        <v>107</v>
      </c>
      <c r="D13" s="27" t="s">
        <v>116</v>
      </c>
      <c r="E13" s="21" t="s">
        <v>117</v>
      </c>
      <c r="F13" s="27" t="s">
        <v>118</v>
      </c>
    </row>
    <row r="15" customFormat="false" ht="15" hidden="false" customHeight="false" outlineLevel="0" collapsed="false">
      <c r="A15" s="6" t="s">
        <v>119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customFormat="false" ht="85.05" hidden="false" customHeight="false" outlineLevel="0" collapsed="false">
      <c r="A16" s="8" t="s">
        <v>120</v>
      </c>
      <c r="B16" s="29" t="n">
        <v>229</v>
      </c>
      <c r="C16" s="8" t="s">
        <v>121</v>
      </c>
      <c r="D16" s="27" t="s">
        <v>122</v>
      </c>
      <c r="E16" s="21" t="s">
        <v>123</v>
      </c>
      <c r="F16" s="27" t="s">
        <v>124</v>
      </c>
    </row>
    <row r="17" customFormat="false" ht="64.15" hidden="false" customHeight="false" outlineLevel="0" collapsed="false">
      <c r="A17" s="8" t="s">
        <v>125</v>
      </c>
      <c r="B17" s="30" t="n">
        <v>0.0045</v>
      </c>
      <c r="C17" s="8" t="s">
        <v>102</v>
      </c>
      <c r="D17" s="27" t="s">
        <v>126</v>
      </c>
      <c r="E17" s="21" t="s">
        <v>123</v>
      </c>
      <c r="F17" s="27" t="s">
        <v>127</v>
      </c>
    </row>
    <row r="18" customFormat="false" ht="64.15" hidden="false" customHeight="false" outlineLevel="0" collapsed="false">
      <c r="A18" s="8" t="s">
        <v>128</v>
      </c>
      <c r="B18" s="30" t="n">
        <v>0.0025</v>
      </c>
      <c r="C18" s="8" t="s">
        <v>102</v>
      </c>
      <c r="D18" s="27" t="s">
        <v>129</v>
      </c>
      <c r="E18" s="21" t="s">
        <v>123</v>
      </c>
      <c r="F18" s="27" t="s">
        <v>130</v>
      </c>
    </row>
    <row r="19" customFormat="false" ht="53.7" hidden="false" customHeight="false" outlineLevel="0" collapsed="false">
      <c r="A19" s="8" t="s">
        <v>131</v>
      </c>
      <c r="B19" s="31" t="n">
        <f aca="false">B17+B18</f>
        <v>0.007</v>
      </c>
      <c r="C19" s="8" t="s">
        <v>102</v>
      </c>
      <c r="D19" s="27" t="s">
        <v>132</v>
      </c>
      <c r="E19" s="21" t="s">
        <v>133</v>
      </c>
      <c r="F19" s="27" t="s">
        <v>134</v>
      </c>
    </row>
    <row r="20" customFormat="false" ht="53.7" hidden="false" customHeight="false" outlineLevel="0" collapsed="false">
      <c r="A20" s="8" t="s">
        <v>135</v>
      </c>
      <c r="B20" s="32" t="n">
        <v>0.0175</v>
      </c>
      <c r="C20" s="8" t="s">
        <v>102</v>
      </c>
      <c r="D20" s="27" t="s">
        <v>136</v>
      </c>
      <c r="E20" s="21" t="s">
        <v>113</v>
      </c>
      <c r="F20" s="27" t="s">
        <v>137</v>
      </c>
    </row>
    <row r="22" customFormat="false" ht="15" hidden="false" customHeight="false" outlineLevel="0" collapsed="false">
      <c r="A22" s="6" t="s">
        <v>138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customFormat="false" ht="95.5" hidden="false" customHeight="false" outlineLevel="0" collapsed="false">
      <c r="A23" s="8" t="s">
        <v>139</v>
      </c>
      <c r="B23" s="33" t="n">
        <v>3.45</v>
      </c>
      <c r="C23" s="8" t="s">
        <v>140</v>
      </c>
      <c r="D23" s="27" t="s">
        <v>141</v>
      </c>
      <c r="E23" s="21" t="s">
        <v>142</v>
      </c>
      <c r="F23" s="27" t="s">
        <v>143</v>
      </c>
    </row>
    <row r="24" customFormat="false" ht="85.05" hidden="false" customHeight="false" outlineLevel="0" collapsed="false">
      <c r="A24" s="8" t="s">
        <v>144</v>
      </c>
      <c r="B24" s="26" t="n">
        <v>3.75</v>
      </c>
      <c r="C24" s="8" t="s">
        <v>140</v>
      </c>
      <c r="D24" s="27" t="s">
        <v>145</v>
      </c>
      <c r="E24" s="21" t="s">
        <v>123</v>
      </c>
      <c r="F24" s="27" t="s">
        <v>146</v>
      </c>
    </row>
    <row r="25" customFormat="false" ht="74.6" hidden="false" customHeight="false" outlineLevel="0" collapsed="false">
      <c r="A25" s="8" t="s">
        <v>147</v>
      </c>
      <c r="B25" s="29" t="n">
        <v>300</v>
      </c>
      <c r="C25" s="8" t="s">
        <v>148</v>
      </c>
      <c r="D25" s="27" t="s">
        <v>149</v>
      </c>
      <c r="E25" s="21" t="s">
        <v>123</v>
      </c>
      <c r="F25" s="27" t="s">
        <v>150</v>
      </c>
    </row>
    <row r="26" customFormat="false" ht="53.7" hidden="false" customHeight="false" outlineLevel="0" collapsed="false">
      <c r="A26" s="8" t="s">
        <v>151</v>
      </c>
      <c r="B26" s="28" t="n">
        <v>0.9</v>
      </c>
      <c r="C26" s="8" t="s">
        <v>152</v>
      </c>
      <c r="D26" s="27" t="s">
        <v>153</v>
      </c>
      <c r="E26" s="21" t="s">
        <v>123</v>
      </c>
      <c r="F26" s="27" t="s">
        <v>154</v>
      </c>
    </row>
    <row r="28" customFormat="false" ht="15" hidden="false" customHeight="false" outlineLevel="0" collapsed="false">
      <c r="A28" s="6" t="s">
        <v>155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customFormat="false" ht="15" hidden="false" customHeight="false" outlineLevel="0" collapsed="false">
      <c r="A29" s="7" t="s">
        <v>81</v>
      </c>
      <c r="B29" s="11" t="s">
        <v>82</v>
      </c>
      <c r="C29" s="11" t="s">
        <v>83</v>
      </c>
      <c r="D29" s="11" t="s">
        <v>68</v>
      </c>
      <c r="E29" s="11" t="s">
        <v>84</v>
      </c>
      <c r="F29" s="11" t="s">
        <v>85</v>
      </c>
      <c r="G29" s="11" t="s">
        <v>86</v>
      </c>
      <c r="H29" s="11" t="s">
        <v>87</v>
      </c>
      <c r="I29" s="11" t="s">
        <v>88</v>
      </c>
      <c r="J29" s="11" t="s">
        <v>89</v>
      </c>
      <c r="L29" s="7" t="s">
        <v>90</v>
      </c>
      <c r="M29" s="7" t="s">
        <v>91</v>
      </c>
      <c r="N29" s="7" t="s">
        <v>92</v>
      </c>
    </row>
    <row r="30" customFormat="false" ht="32.8" hidden="false" customHeight="false" outlineLevel="0" collapsed="false">
      <c r="A30" s="8" t="s">
        <v>156</v>
      </c>
      <c r="B30" s="34" t="n">
        <v>0.33</v>
      </c>
      <c r="C30" s="34" t="n">
        <v>0.36</v>
      </c>
      <c r="D30" s="34" t="n">
        <v>0.39</v>
      </c>
      <c r="E30" s="34" t="n">
        <v>0.4</v>
      </c>
      <c r="F30" s="34" t="n">
        <v>0.34</v>
      </c>
      <c r="G30" s="34" t="n">
        <v>0.22</v>
      </c>
      <c r="H30" s="34" t="n">
        <v>0.12</v>
      </c>
      <c r="I30" s="34" t="n">
        <v>0.06</v>
      </c>
      <c r="J30" s="34" t="n">
        <v>0.02</v>
      </c>
      <c r="L30" s="27" t="s">
        <v>157</v>
      </c>
      <c r="M30" s="21" t="s">
        <v>158</v>
      </c>
      <c r="N30" s="27" t="s">
        <v>159</v>
      </c>
    </row>
    <row r="31" customFormat="false" ht="32.8" hidden="false" customHeight="false" outlineLevel="0" collapsed="false">
      <c r="A31" s="8" t="s">
        <v>160</v>
      </c>
      <c r="B31" s="34" t="n">
        <v>0.33</v>
      </c>
      <c r="C31" s="34" t="n">
        <v>0.29</v>
      </c>
      <c r="D31" s="34" t="n">
        <v>0.23</v>
      </c>
      <c r="E31" s="34" t="n">
        <v>0.2</v>
      </c>
      <c r="F31" s="34" t="n">
        <v>0.25</v>
      </c>
      <c r="G31" s="34" t="n">
        <v>0.33</v>
      </c>
      <c r="H31" s="34" t="n">
        <v>0.4</v>
      </c>
      <c r="I31" s="34" t="n">
        <v>0.42</v>
      </c>
      <c r="J31" s="34" t="n">
        <v>0.44</v>
      </c>
      <c r="L31" s="27" t="s">
        <v>161</v>
      </c>
      <c r="M31" s="21" t="s">
        <v>158</v>
      </c>
      <c r="N31" s="27" t="s">
        <v>162</v>
      </c>
    </row>
    <row r="32" customFormat="false" ht="32.8" hidden="false" customHeight="false" outlineLevel="0" collapsed="false">
      <c r="A32" s="8" t="s">
        <v>163</v>
      </c>
      <c r="B32" s="28" t="n">
        <v>0.34</v>
      </c>
      <c r="C32" s="28" t="n">
        <v>0.35</v>
      </c>
      <c r="D32" s="28" t="n">
        <v>0.38</v>
      </c>
      <c r="E32" s="28" t="n">
        <v>0.4</v>
      </c>
      <c r="F32" s="28" t="n">
        <v>0.41</v>
      </c>
      <c r="G32" s="28" t="n">
        <v>0.45</v>
      </c>
      <c r="H32" s="28" t="n">
        <v>0.48</v>
      </c>
      <c r="I32" s="28" t="n">
        <v>0.52</v>
      </c>
      <c r="J32" s="28" t="n">
        <v>0.54</v>
      </c>
      <c r="L32" s="27" t="s">
        <v>164</v>
      </c>
      <c r="M32" s="21" t="s">
        <v>158</v>
      </c>
      <c r="N32" s="27" t="s">
        <v>165</v>
      </c>
    </row>
    <row r="34" customFormat="false" ht="15" hidden="false" customHeight="false" outlineLevel="0" collapsed="false">
      <c r="A34" s="6" t="s">
        <v>166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customFormat="false" ht="53.7" hidden="false" customHeight="false" outlineLevel="0" collapsed="false">
      <c r="A35" s="8" t="s">
        <v>167</v>
      </c>
      <c r="B35" s="28" t="n">
        <v>0.7</v>
      </c>
      <c r="C35" s="8" t="s">
        <v>152</v>
      </c>
      <c r="D35" s="27" t="s">
        <v>168</v>
      </c>
      <c r="E35" s="21" t="s">
        <v>123</v>
      </c>
      <c r="F35" s="27" t="s">
        <v>169</v>
      </c>
    </row>
    <row r="36" customFormat="false" ht="64.15" hidden="false" customHeight="false" outlineLevel="0" collapsed="false">
      <c r="A36" s="8" t="s">
        <v>170</v>
      </c>
      <c r="B36" s="28" t="n">
        <v>0.14</v>
      </c>
      <c r="C36" s="8" t="s">
        <v>152</v>
      </c>
      <c r="D36" s="27" t="s">
        <v>171</v>
      </c>
      <c r="E36" s="21" t="s">
        <v>123</v>
      </c>
      <c r="F36" s="27" t="s">
        <v>172</v>
      </c>
    </row>
    <row r="37" customFormat="false" ht="85.05" hidden="false" customHeight="false" outlineLevel="0" collapsed="false">
      <c r="A37" s="8" t="s">
        <v>173</v>
      </c>
      <c r="B37" s="28" t="n">
        <v>0.09</v>
      </c>
      <c r="C37" s="8" t="s">
        <v>152</v>
      </c>
      <c r="D37" s="27" t="s">
        <v>174</v>
      </c>
      <c r="E37" s="21" t="s">
        <v>123</v>
      </c>
      <c r="F37" s="27" t="s">
        <v>175</v>
      </c>
    </row>
    <row r="38" customFormat="false" ht="64.15" hidden="false" customHeight="false" outlineLevel="0" collapsed="false">
      <c r="A38" s="8" t="s">
        <v>176</v>
      </c>
      <c r="B38" s="28" t="n">
        <v>0.05</v>
      </c>
      <c r="C38" s="8" t="s">
        <v>152</v>
      </c>
      <c r="D38" s="27" t="s">
        <v>177</v>
      </c>
      <c r="E38" s="21" t="s">
        <v>123</v>
      </c>
      <c r="F38" s="27" t="s">
        <v>178</v>
      </c>
    </row>
    <row r="39" customFormat="false" ht="74.6" hidden="false" customHeight="false" outlineLevel="0" collapsed="false">
      <c r="A39" s="8" t="s">
        <v>179</v>
      </c>
      <c r="B39" s="28" t="n">
        <v>0.02</v>
      </c>
      <c r="C39" s="8" t="s">
        <v>152</v>
      </c>
      <c r="D39" s="27" t="s">
        <v>180</v>
      </c>
      <c r="E39" s="21" t="s">
        <v>123</v>
      </c>
      <c r="F39" s="27" t="s">
        <v>181</v>
      </c>
    </row>
    <row r="40" customFormat="false" ht="15" hidden="false" customHeight="false" outlineLevel="0" collapsed="false">
      <c r="A40" s="8" t="s">
        <v>182</v>
      </c>
      <c r="B40" s="35" t="n">
        <f aca="false">B35+B36+B37+B38+B39</f>
        <v>1</v>
      </c>
    </row>
    <row r="42" customFormat="false" ht="15" hidden="false" customHeight="false" outlineLevel="0" collapsed="false">
      <c r="A42" s="6" t="s">
        <v>183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customFormat="false" ht="105.95" hidden="false" customHeight="false" outlineLevel="0" collapsed="false">
      <c r="A43" s="8" t="s">
        <v>184</v>
      </c>
      <c r="B43" s="36" t="n">
        <v>8.5</v>
      </c>
      <c r="C43" s="8" t="s">
        <v>185</v>
      </c>
      <c r="D43" s="27" t="s">
        <v>186</v>
      </c>
      <c r="E43" s="21" t="s">
        <v>187</v>
      </c>
      <c r="F43" s="27" t="s">
        <v>188</v>
      </c>
    </row>
    <row r="44" customFormat="false" ht="53.7" hidden="false" customHeight="false" outlineLevel="0" collapsed="false">
      <c r="A44" s="8" t="s">
        <v>189</v>
      </c>
      <c r="B44" s="36" t="n">
        <v>7</v>
      </c>
      <c r="C44" s="8" t="s">
        <v>185</v>
      </c>
      <c r="D44" s="27" t="s">
        <v>190</v>
      </c>
      <c r="E44" s="21" t="s">
        <v>187</v>
      </c>
      <c r="F44" s="27"/>
    </row>
    <row r="45" customFormat="false" ht="53.7" hidden="false" customHeight="false" outlineLevel="0" collapsed="false">
      <c r="A45" s="8" t="s">
        <v>191</v>
      </c>
      <c r="B45" s="36" t="n">
        <v>5.6</v>
      </c>
      <c r="C45" s="8" t="s">
        <v>185</v>
      </c>
      <c r="D45" s="27" t="s">
        <v>192</v>
      </c>
      <c r="E45" s="21" t="s">
        <v>187</v>
      </c>
      <c r="F45" s="27" t="s">
        <v>193</v>
      </c>
    </row>
    <row r="46" customFormat="false" ht="85.05" hidden="false" customHeight="false" outlineLevel="0" collapsed="false">
      <c r="A46" s="8" t="s">
        <v>194</v>
      </c>
      <c r="B46" s="36" t="n">
        <v>13.5</v>
      </c>
      <c r="C46" s="8" t="s">
        <v>185</v>
      </c>
      <c r="D46" s="27" t="s">
        <v>195</v>
      </c>
      <c r="E46" s="21" t="s">
        <v>196</v>
      </c>
      <c r="F46" s="27" t="s">
        <v>197</v>
      </c>
    </row>
    <row r="47" customFormat="false" ht="74.6" hidden="false" customHeight="false" outlineLevel="0" collapsed="false">
      <c r="A47" s="8" t="s">
        <v>198</v>
      </c>
      <c r="B47" s="36" t="n">
        <v>5.4</v>
      </c>
      <c r="C47" s="8" t="s">
        <v>185</v>
      </c>
      <c r="D47" s="27" t="s">
        <v>199</v>
      </c>
      <c r="E47" s="21" t="s">
        <v>123</v>
      </c>
      <c r="F47" s="27" t="s">
        <v>200</v>
      </c>
    </row>
    <row r="48" customFormat="false" ht="53.7" hidden="false" customHeight="false" outlineLevel="0" collapsed="false">
      <c r="A48" s="8" t="s">
        <v>201</v>
      </c>
      <c r="B48" s="36" t="n">
        <v>4.5</v>
      </c>
      <c r="C48" s="8" t="s">
        <v>185</v>
      </c>
      <c r="D48" s="27" t="s">
        <v>202</v>
      </c>
      <c r="E48" s="21" t="s">
        <v>123</v>
      </c>
      <c r="F48" s="27"/>
    </row>
    <row r="49" customFormat="false" ht="53.7" hidden="false" customHeight="false" outlineLevel="0" collapsed="false">
      <c r="A49" s="8" t="s">
        <v>203</v>
      </c>
      <c r="B49" s="36" t="n">
        <v>3.4</v>
      </c>
      <c r="C49" s="8" t="s">
        <v>185</v>
      </c>
      <c r="D49" s="27" t="s">
        <v>204</v>
      </c>
      <c r="E49" s="21" t="s">
        <v>123</v>
      </c>
      <c r="F49" s="27" t="s">
        <v>205</v>
      </c>
    </row>
    <row r="50" customFormat="false" ht="64.15" hidden="false" customHeight="false" outlineLevel="0" collapsed="false">
      <c r="A50" s="8" t="s">
        <v>206</v>
      </c>
      <c r="B50" s="36" t="n">
        <v>8</v>
      </c>
      <c r="C50" s="8" t="s">
        <v>185</v>
      </c>
      <c r="D50" s="27" t="s">
        <v>207</v>
      </c>
      <c r="E50" s="21" t="s">
        <v>123</v>
      </c>
      <c r="F50" s="27"/>
    </row>
    <row r="51" customFormat="false" ht="95.5" hidden="false" customHeight="false" outlineLevel="0" collapsed="false">
      <c r="A51" s="8" t="s">
        <v>208</v>
      </c>
      <c r="B51" s="36" t="n">
        <v>4</v>
      </c>
      <c r="C51" s="8" t="s">
        <v>185</v>
      </c>
      <c r="D51" s="27" t="s">
        <v>209</v>
      </c>
      <c r="E51" s="21" t="s">
        <v>123</v>
      </c>
      <c r="F51" s="27" t="s">
        <v>210</v>
      </c>
    </row>
    <row r="52" customFormat="false" ht="85.05" hidden="false" customHeight="false" outlineLevel="0" collapsed="false">
      <c r="A52" s="8" t="s">
        <v>211</v>
      </c>
      <c r="B52" s="36" t="n">
        <v>2.8</v>
      </c>
      <c r="C52" s="8" t="s">
        <v>185</v>
      </c>
      <c r="D52" s="27" t="s">
        <v>212</v>
      </c>
      <c r="E52" s="21" t="s">
        <v>123</v>
      </c>
      <c r="F52" s="27" t="s">
        <v>213</v>
      </c>
    </row>
    <row r="53" customFormat="false" ht="53.7" hidden="false" customHeight="false" outlineLevel="0" collapsed="false">
      <c r="A53" s="8" t="s">
        <v>214</v>
      </c>
      <c r="B53" s="36" t="n">
        <v>13</v>
      </c>
      <c r="C53" s="8" t="s">
        <v>185</v>
      </c>
      <c r="D53" s="27" t="s">
        <v>215</v>
      </c>
      <c r="E53" s="21" t="s">
        <v>123</v>
      </c>
      <c r="F53" s="27" t="s">
        <v>216</v>
      </c>
    </row>
    <row r="54" customFormat="false" ht="53.7" hidden="false" customHeight="false" outlineLevel="0" collapsed="false">
      <c r="A54" s="8" t="s">
        <v>217</v>
      </c>
      <c r="B54" s="28" t="n">
        <v>0.15</v>
      </c>
      <c r="C54" s="8" t="s">
        <v>152</v>
      </c>
      <c r="D54" s="27" t="s">
        <v>218</v>
      </c>
      <c r="E54" s="21" t="s">
        <v>123</v>
      </c>
      <c r="F54" s="27" t="s">
        <v>219</v>
      </c>
    </row>
    <row r="55" customFormat="false" ht="95.5" hidden="false" customHeight="false" outlineLevel="0" collapsed="false">
      <c r="A55" s="8" t="s">
        <v>220</v>
      </c>
      <c r="B55" s="34" t="n">
        <v>0.3</v>
      </c>
      <c r="C55" s="8" t="s">
        <v>152</v>
      </c>
      <c r="D55" s="27" t="s">
        <v>221</v>
      </c>
      <c r="E55" s="21" t="s">
        <v>222</v>
      </c>
      <c r="F55" s="27" t="s">
        <v>223</v>
      </c>
    </row>
    <row r="57" customFormat="false" ht="15" hidden="false" customHeight="false" outlineLevel="0" collapsed="false">
      <c r="A57" s="6" t="s">
        <v>224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customFormat="false" ht="15" hidden="false" customHeight="false" outlineLevel="0" collapsed="false">
      <c r="A58" s="7" t="s">
        <v>81</v>
      </c>
      <c r="B58" s="11" t="s">
        <v>82</v>
      </c>
      <c r="C58" s="11" t="s">
        <v>83</v>
      </c>
      <c r="D58" s="11" t="s">
        <v>68</v>
      </c>
      <c r="E58" s="11" t="s">
        <v>84</v>
      </c>
      <c r="F58" s="11" t="s">
        <v>85</v>
      </c>
      <c r="G58" s="11" t="s">
        <v>86</v>
      </c>
      <c r="H58" s="11" t="s">
        <v>87</v>
      </c>
      <c r="I58" s="11" t="s">
        <v>88</v>
      </c>
      <c r="J58" s="11" t="s">
        <v>89</v>
      </c>
      <c r="L58" s="7" t="s">
        <v>90</v>
      </c>
      <c r="M58" s="7" t="s">
        <v>91</v>
      </c>
      <c r="N58" s="7" t="s">
        <v>92</v>
      </c>
    </row>
    <row r="59" customFormat="false" ht="22.35" hidden="false" customHeight="false" outlineLevel="0" collapsed="false">
      <c r="A59" s="8" t="s">
        <v>225</v>
      </c>
      <c r="B59" s="34" t="n">
        <v>0.3</v>
      </c>
      <c r="C59" s="34" t="n">
        <v>0.25</v>
      </c>
      <c r="D59" s="34" t="n">
        <v>0.2</v>
      </c>
      <c r="E59" s="34" t="n">
        <v>0.19</v>
      </c>
      <c r="F59" s="34" t="n">
        <v>0.18</v>
      </c>
      <c r="G59" s="34" t="n">
        <v>0.14</v>
      </c>
      <c r="H59" s="34" t="n">
        <v>0.12</v>
      </c>
      <c r="I59" s="34" t="n">
        <v>0.11</v>
      </c>
      <c r="J59" s="34" t="n">
        <v>0.1</v>
      </c>
      <c r="L59" s="27" t="s">
        <v>226</v>
      </c>
      <c r="M59" s="21" t="s">
        <v>123</v>
      </c>
      <c r="N59" s="27" t="s">
        <v>227</v>
      </c>
    </row>
    <row r="60" customFormat="false" ht="74.6" hidden="false" customHeight="false" outlineLevel="0" collapsed="false">
      <c r="A60" s="8" t="s">
        <v>228</v>
      </c>
      <c r="B60" s="34" t="n">
        <v>0.3</v>
      </c>
      <c r="C60" s="8" t="s">
        <v>152</v>
      </c>
      <c r="D60" s="27" t="s">
        <v>229</v>
      </c>
      <c r="E60" s="21" t="s">
        <v>113</v>
      </c>
      <c r="F60" s="27" t="s">
        <v>230</v>
      </c>
    </row>
    <row r="62" customFormat="false" ht="15" hidden="false" customHeight="false" outlineLevel="0" collapsed="false">
      <c r="A62" s="6" t="s">
        <v>231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customFormat="false" ht="53.7" hidden="false" customHeight="false" outlineLevel="0" collapsed="false">
      <c r="A63" s="8" t="s">
        <v>232</v>
      </c>
      <c r="B63" s="28" t="n">
        <v>0.005</v>
      </c>
      <c r="C63" s="8" t="s">
        <v>152</v>
      </c>
      <c r="D63" s="27" t="s">
        <v>233</v>
      </c>
      <c r="E63" s="21" t="s">
        <v>123</v>
      </c>
      <c r="F63" s="27" t="s">
        <v>234</v>
      </c>
    </row>
    <row r="64" customFormat="false" ht="74.6" hidden="false" customHeight="false" outlineLevel="0" collapsed="false">
      <c r="A64" s="8" t="s">
        <v>235</v>
      </c>
      <c r="B64" s="28" t="n">
        <v>0.02</v>
      </c>
      <c r="C64" s="8" t="s">
        <v>152</v>
      </c>
      <c r="D64" s="27" t="s">
        <v>236</v>
      </c>
      <c r="E64" s="21" t="s">
        <v>123</v>
      </c>
      <c r="F64" s="27" t="s">
        <v>237</v>
      </c>
    </row>
    <row r="65" customFormat="false" ht="74.6" hidden="false" customHeight="false" outlineLevel="0" collapsed="false">
      <c r="A65" s="8" t="s">
        <v>238</v>
      </c>
      <c r="B65" s="28" t="n">
        <v>0.225</v>
      </c>
      <c r="C65" s="8" t="s">
        <v>152</v>
      </c>
      <c r="D65" s="27" t="s">
        <v>239</v>
      </c>
      <c r="E65" s="21" t="s">
        <v>123</v>
      </c>
      <c r="F65" s="27" t="s">
        <v>240</v>
      </c>
    </row>
    <row r="66" customFormat="false" ht="43.25" hidden="false" customHeight="false" outlineLevel="0" collapsed="false">
      <c r="A66" s="8" t="s">
        <v>241</v>
      </c>
      <c r="B66" s="28" t="n">
        <v>0.065</v>
      </c>
      <c r="C66" s="8" t="s">
        <v>152</v>
      </c>
      <c r="D66" s="27" t="s">
        <v>242</v>
      </c>
      <c r="E66" s="21" t="s">
        <v>123</v>
      </c>
      <c r="F66" s="27" t="s">
        <v>243</v>
      </c>
    </row>
    <row r="68" customFormat="false" ht="15" hidden="false" customHeight="false" outlineLevel="0" collapsed="false">
      <c r="A68" s="6" t="s">
        <v>244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customFormat="false" ht="85.05" hidden="false" customHeight="false" outlineLevel="0" collapsed="false">
      <c r="A69" s="8" t="s">
        <v>245</v>
      </c>
      <c r="B69" s="28" t="n">
        <v>0.625</v>
      </c>
      <c r="C69" s="8" t="s">
        <v>152</v>
      </c>
      <c r="D69" s="27" t="s">
        <v>246</v>
      </c>
      <c r="E69" s="21" t="s">
        <v>247</v>
      </c>
      <c r="F69" s="27" t="s">
        <v>248</v>
      </c>
    </row>
    <row r="70" customFormat="false" ht="53.7" hidden="false" customHeight="false" outlineLevel="0" collapsed="false">
      <c r="A70" s="8" t="s">
        <v>249</v>
      </c>
      <c r="B70" s="28" t="n">
        <v>0.1</v>
      </c>
      <c r="C70" s="8" t="s">
        <v>152</v>
      </c>
      <c r="D70" s="27" t="s">
        <v>250</v>
      </c>
      <c r="E70" s="21" t="s">
        <v>247</v>
      </c>
      <c r="F70" s="27" t="s">
        <v>251</v>
      </c>
    </row>
    <row r="71" customFormat="false" ht="64.15" hidden="false" customHeight="false" outlineLevel="0" collapsed="false">
      <c r="A71" s="8" t="s">
        <v>252</v>
      </c>
      <c r="B71" s="28" t="n">
        <v>0.05</v>
      </c>
      <c r="C71" s="8" t="s">
        <v>152</v>
      </c>
      <c r="D71" s="27" t="s">
        <v>253</v>
      </c>
      <c r="E71" s="21" t="s">
        <v>247</v>
      </c>
      <c r="F71" s="27" t="s">
        <v>254</v>
      </c>
    </row>
    <row r="72" customFormat="false" ht="43.25" hidden="false" customHeight="false" outlineLevel="0" collapsed="false">
      <c r="A72" s="8" t="s">
        <v>255</v>
      </c>
      <c r="B72" s="28" t="n">
        <v>0.07</v>
      </c>
      <c r="C72" s="8" t="s">
        <v>152</v>
      </c>
      <c r="D72" s="27" t="s">
        <v>256</v>
      </c>
      <c r="E72" s="21" t="s">
        <v>247</v>
      </c>
      <c r="F72" s="27" t="s">
        <v>257</v>
      </c>
    </row>
    <row r="73" customFormat="false" ht="64.15" hidden="false" customHeight="false" outlineLevel="0" collapsed="false">
      <c r="A73" s="8" t="s">
        <v>258</v>
      </c>
      <c r="B73" s="28" t="n">
        <v>0.07</v>
      </c>
      <c r="C73" s="8" t="s">
        <v>152</v>
      </c>
      <c r="D73" s="27" t="s">
        <v>256</v>
      </c>
      <c r="E73" s="21" t="s">
        <v>247</v>
      </c>
      <c r="F73" s="27" t="s">
        <v>259</v>
      </c>
    </row>
    <row r="74" customFormat="false" ht="32.8" hidden="false" customHeight="false" outlineLevel="0" collapsed="false">
      <c r="A74" s="8" t="s">
        <v>260</v>
      </c>
      <c r="B74" s="28" t="n">
        <v>0.02</v>
      </c>
      <c r="C74" s="8" t="s">
        <v>152</v>
      </c>
      <c r="D74" s="27" t="s">
        <v>261</v>
      </c>
      <c r="E74" s="21" t="s">
        <v>247</v>
      </c>
      <c r="F74" s="27" t="s">
        <v>262</v>
      </c>
    </row>
    <row r="75" customFormat="false" ht="32.8" hidden="false" customHeight="false" outlineLevel="0" collapsed="false">
      <c r="A75" s="8" t="s">
        <v>263</v>
      </c>
      <c r="B75" s="28" t="n">
        <v>0.09</v>
      </c>
      <c r="C75" s="8" t="s">
        <v>152</v>
      </c>
      <c r="D75" s="27" t="s">
        <v>264</v>
      </c>
      <c r="E75" s="21" t="s">
        <v>247</v>
      </c>
      <c r="F75" s="27"/>
    </row>
    <row r="76" customFormat="false" ht="53.7" hidden="false" customHeight="false" outlineLevel="0" collapsed="false">
      <c r="A76" s="8" t="s">
        <v>265</v>
      </c>
      <c r="B76" s="28" t="n">
        <v>0.08</v>
      </c>
      <c r="C76" s="8" t="s">
        <v>152</v>
      </c>
      <c r="D76" s="27" t="s">
        <v>266</v>
      </c>
      <c r="E76" s="21" t="s">
        <v>247</v>
      </c>
      <c r="F76" s="27" t="s">
        <v>267</v>
      </c>
    </row>
    <row r="77" customFormat="false" ht="22.35" hidden="false" customHeight="false" outlineLevel="0" collapsed="false">
      <c r="A77" s="8" t="s">
        <v>268</v>
      </c>
      <c r="B77" s="28" t="n">
        <v>0.15</v>
      </c>
      <c r="C77" s="8" t="s">
        <v>152</v>
      </c>
      <c r="D77" s="27" t="s">
        <v>269</v>
      </c>
      <c r="E77" s="21" t="s">
        <v>247</v>
      </c>
      <c r="F77" s="27"/>
    </row>
    <row r="78" customFormat="false" ht="64.15" hidden="false" customHeight="false" outlineLevel="0" collapsed="false">
      <c r="A78" s="8" t="s">
        <v>270</v>
      </c>
      <c r="B78" s="28" t="n">
        <v>0.11</v>
      </c>
      <c r="C78" s="8" t="s">
        <v>152</v>
      </c>
      <c r="D78" s="27" t="s">
        <v>271</v>
      </c>
      <c r="E78" s="21" t="s">
        <v>247</v>
      </c>
      <c r="F78" s="27" t="s">
        <v>272</v>
      </c>
    </row>
    <row r="80" customFormat="false" ht="15" hidden="false" customHeight="false" outlineLevel="0" collapsed="false">
      <c r="A80" s="6" t="s">
        <v>273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customFormat="false" ht="53.7" hidden="false" customHeight="false" outlineLevel="0" collapsed="false">
      <c r="A81" s="8" t="s">
        <v>274</v>
      </c>
      <c r="B81" s="28" t="n">
        <v>0.6</v>
      </c>
      <c r="C81" s="8" t="s">
        <v>152</v>
      </c>
      <c r="D81" s="27" t="s">
        <v>275</v>
      </c>
      <c r="E81" s="21" t="s">
        <v>123</v>
      </c>
      <c r="F81" s="27" t="s">
        <v>276</v>
      </c>
    </row>
    <row r="82" customFormat="false" ht="22.35" hidden="false" customHeight="false" outlineLevel="0" collapsed="false">
      <c r="A82" s="8" t="s">
        <v>277</v>
      </c>
      <c r="B82" s="36" t="n">
        <v>1.85</v>
      </c>
      <c r="C82" s="8" t="s">
        <v>185</v>
      </c>
      <c r="D82" s="27" t="s">
        <v>278</v>
      </c>
      <c r="E82" s="21" t="s">
        <v>123</v>
      </c>
      <c r="F82" s="27"/>
    </row>
    <row r="83" customFormat="false" ht="22.35" hidden="false" customHeight="false" outlineLevel="0" collapsed="false">
      <c r="A83" s="8" t="s">
        <v>279</v>
      </c>
      <c r="B83" s="36" t="n">
        <v>2.1</v>
      </c>
      <c r="C83" s="8" t="s">
        <v>185</v>
      </c>
      <c r="D83" s="27" t="s">
        <v>278</v>
      </c>
      <c r="E83" s="21" t="s">
        <v>123</v>
      </c>
      <c r="F83" s="27"/>
    </row>
    <row r="84" customFormat="false" ht="64.15" hidden="false" customHeight="false" outlineLevel="0" collapsed="false">
      <c r="A84" s="8" t="s">
        <v>280</v>
      </c>
      <c r="B84" s="26" t="n">
        <v>0.5</v>
      </c>
      <c r="C84" s="8" t="s">
        <v>281</v>
      </c>
      <c r="D84" s="27" t="s">
        <v>282</v>
      </c>
      <c r="E84" s="21" t="s">
        <v>123</v>
      </c>
      <c r="F84" s="27" t="s">
        <v>283</v>
      </c>
    </row>
    <row r="85" customFormat="false" ht="43.25" hidden="false" customHeight="false" outlineLevel="0" collapsed="false">
      <c r="A85" s="8" t="s">
        <v>284</v>
      </c>
      <c r="B85" s="30" t="n">
        <v>0.0095</v>
      </c>
      <c r="C85" s="8" t="s">
        <v>285</v>
      </c>
      <c r="D85" s="27" t="s">
        <v>286</v>
      </c>
      <c r="E85" s="21" t="s">
        <v>123</v>
      </c>
      <c r="F85" s="27" t="s">
        <v>287</v>
      </c>
    </row>
    <row r="86" customFormat="false" ht="64.15" hidden="false" customHeight="false" outlineLevel="0" collapsed="false">
      <c r="A86" s="8" t="s">
        <v>288</v>
      </c>
      <c r="B86" s="28" t="n">
        <v>0.09</v>
      </c>
      <c r="C86" s="8" t="s">
        <v>152</v>
      </c>
      <c r="D86" s="27" t="s">
        <v>289</v>
      </c>
      <c r="E86" s="21" t="s">
        <v>123</v>
      </c>
      <c r="F86" s="27"/>
    </row>
    <row r="87" customFormat="false" ht="64.15" hidden="false" customHeight="false" outlineLevel="0" collapsed="false">
      <c r="A87" s="8" t="s">
        <v>290</v>
      </c>
      <c r="B87" s="28" t="n">
        <v>0.19</v>
      </c>
      <c r="C87" s="8" t="s">
        <v>152</v>
      </c>
      <c r="D87" s="27" t="s">
        <v>291</v>
      </c>
      <c r="E87" s="21" t="s">
        <v>123</v>
      </c>
      <c r="F87" s="27" t="s">
        <v>292</v>
      </c>
    </row>
    <row r="88" customFormat="false" ht="32.8" hidden="false" customHeight="false" outlineLevel="0" collapsed="false">
      <c r="A88" s="8" t="s">
        <v>293</v>
      </c>
      <c r="B88" s="30" t="n">
        <v>0.0185</v>
      </c>
      <c r="C88" s="8" t="s">
        <v>285</v>
      </c>
      <c r="D88" s="27" t="s">
        <v>294</v>
      </c>
      <c r="E88" s="21" t="s">
        <v>123</v>
      </c>
      <c r="F88" s="27"/>
    </row>
    <row r="89" customFormat="false" ht="74.6" hidden="false" customHeight="false" outlineLevel="0" collapsed="false">
      <c r="A89" s="8" t="s">
        <v>295</v>
      </c>
      <c r="B89" s="28" t="n">
        <v>0.2</v>
      </c>
      <c r="C89" s="8" t="s">
        <v>152</v>
      </c>
      <c r="D89" s="27" t="s">
        <v>296</v>
      </c>
      <c r="E89" s="21" t="s">
        <v>123</v>
      </c>
      <c r="F89" s="27" t="s">
        <v>297</v>
      </c>
    </row>
    <row r="90" customFormat="false" ht="64.15" hidden="false" customHeight="false" outlineLevel="0" collapsed="false">
      <c r="A90" s="8" t="s">
        <v>298</v>
      </c>
      <c r="B90" s="29" t="n">
        <v>430</v>
      </c>
      <c r="C90" s="8" t="s">
        <v>299</v>
      </c>
      <c r="D90" s="27" t="s">
        <v>300</v>
      </c>
      <c r="E90" s="21" t="s">
        <v>123</v>
      </c>
      <c r="F90" s="27"/>
    </row>
    <row r="91" customFormat="false" ht="22.35" hidden="false" customHeight="false" outlineLevel="0" collapsed="false">
      <c r="A91" s="8" t="s">
        <v>301</v>
      </c>
      <c r="B91" s="29" t="n">
        <v>510</v>
      </c>
      <c r="C91" s="8" t="s">
        <v>299</v>
      </c>
      <c r="D91" s="27" t="s">
        <v>278</v>
      </c>
      <c r="E91" s="21" t="s">
        <v>123</v>
      </c>
      <c r="F91" s="27"/>
    </row>
    <row r="93" customFormat="false" ht="15" hidden="false" customHeight="false" outlineLevel="0" collapsed="false">
      <c r="A93" s="6" t="s">
        <v>302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customFormat="false" ht="53.7" hidden="false" customHeight="false" outlineLevel="0" collapsed="false">
      <c r="A94" s="8" t="s">
        <v>303</v>
      </c>
      <c r="B94" s="36" t="n">
        <v>45</v>
      </c>
      <c r="C94" s="8" t="s">
        <v>304</v>
      </c>
      <c r="D94" s="27" t="s">
        <v>305</v>
      </c>
      <c r="E94" s="21" t="s">
        <v>123</v>
      </c>
      <c r="F94" s="27" t="s">
        <v>306</v>
      </c>
    </row>
    <row r="95" customFormat="false" ht="53.7" hidden="false" customHeight="false" outlineLevel="0" collapsed="false">
      <c r="A95" s="8" t="s">
        <v>307</v>
      </c>
      <c r="B95" s="36" t="n">
        <v>65</v>
      </c>
      <c r="C95" s="8" t="s">
        <v>304</v>
      </c>
      <c r="D95" s="27" t="s">
        <v>308</v>
      </c>
      <c r="E95" s="21" t="s">
        <v>123</v>
      </c>
      <c r="F95" s="27"/>
    </row>
    <row r="96" customFormat="false" ht="64.15" hidden="false" customHeight="false" outlineLevel="0" collapsed="false">
      <c r="A96" s="8" t="s">
        <v>309</v>
      </c>
      <c r="B96" s="36" t="n">
        <v>55</v>
      </c>
      <c r="C96" s="8" t="s">
        <v>304</v>
      </c>
      <c r="D96" s="27" t="s">
        <v>310</v>
      </c>
      <c r="E96" s="21" t="s">
        <v>123</v>
      </c>
      <c r="F96" s="27"/>
    </row>
    <row r="97" customFormat="false" ht="53.7" hidden="false" customHeight="false" outlineLevel="0" collapsed="false">
      <c r="A97" s="8" t="s">
        <v>311</v>
      </c>
      <c r="B97" s="29" t="n">
        <v>6</v>
      </c>
      <c r="C97" s="8" t="s">
        <v>312</v>
      </c>
      <c r="D97" s="27" t="s">
        <v>313</v>
      </c>
      <c r="E97" s="21" t="s">
        <v>123</v>
      </c>
      <c r="F97" s="27" t="s">
        <v>314</v>
      </c>
    </row>
    <row r="98" customFormat="false" ht="43.25" hidden="false" customHeight="false" outlineLevel="0" collapsed="false">
      <c r="A98" s="8" t="s">
        <v>315</v>
      </c>
      <c r="B98" s="29" t="n">
        <v>9</v>
      </c>
      <c r="C98" s="8" t="s">
        <v>312</v>
      </c>
      <c r="D98" s="27" t="s">
        <v>316</v>
      </c>
      <c r="E98" s="21" t="s">
        <v>123</v>
      </c>
      <c r="F98" s="27" t="s">
        <v>317</v>
      </c>
    </row>
    <row r="99" customFormat="false" ht="64.15" hidden="false" customHeight="false" outlineLevel="0" collapsed="false">
      <c r="A99" s="8" t="s">
        <v>318</v>
      </c>
      <c r="B99" s="29" t="n">
        <v>12</v>
      </c>
      <c r="C99" s="8" t="s">
        <v>312</v>
      </c>
      <c r="D99" s="27" t="s">
        <v>319</v>
      </c>
      <c r="E99" s="21" t="s">
        <v>123</v>
      </c>
      <c r="F99" s="27" t="s">
        <v>320</v>
      </c>
    </row>
    <row r="100" customFormat="false" ht="22.35" hidden="false" customHeight="false" outlineLevel="0" collapsed="false">
      <c r="A100" s="8" t="s">
        <v>321</v>
      </c>
      <c r="B100" s="29" t="n">
        <v>18</v>
      </c>
      <c r="C100" s="8" t="s">
        <v>312</v>
      </c>
      <c r="D100" s="27" t="s">
        <v>316</v>
      </c>
      <c r="E100" s="21" t="s">
        <v>123</v>
      </c>
      <c r="F100" s="27"/>
    </row>
    <row r="101" customFormat="false" ht="32.8" hidden="false" customHeight="false" outlineLevel="0" collapsed="false">
      <c r="A101" s="8" t="s">
        <v>322</v>
      </c>
      <c r="B101" s="29" t="n">
        <v>5</v>
      </c>
      <c r="C101" s="8" t="s">
        <v>312</v>
      </c>
      <c r="D101" s="27" t="s">
        <v>323</v>
      </c>
      <c r="E101" s="21" t="s">
        <v>123</v>
      </c>
      <c r="F101" s="27"/>
    </row>
    <row r="102" customFormat="false" ht="53.7" hidden="false" customHeight="false" outlineLevel="0" collapsed="false">
      <c r="A102" s="8" t="s">
        <v>324</v>
      </c>
      <c r="B102" s="26" t="n">
        <v>10.5</v>
      </c>
      <c r="C102" s="8" t="s">
        <v>312</v>
      </c>
      <c r="D102" s="27" t="s">
        <v>325</v>
      </c>
      <c r="E102" s="21" t="s">
        <v>123</v>
      </c>
      <c r="F102" s="27" t="s">
        <v>326</v>
      </c>
    </row>
    <row r="103" customFormat="false" ht="85.05" hidden="false" customHeight="false" outlineLevel="0" collapsed="false">
      <c r="A103" s="8" t="s">
        <v>327</v>
      </c>
      <c r="B103" s="37" t="n">
        <v>19</v>
      </c>
      <c r="C103" s="8" t="s">
        <v>312</v>
      </c>
      <c r="D103" s="27" t="s">
        <v>328</v>
      </c>
      <c r="E103" s="21" t="s">
        <v>123</v>
      </c>
      <c r="F103" s="27" t="s">
        <v>329</v>
      </c>
    </row>
    <row r="105" customFormat="false" ht="15" hidden="false" customHeight="false" outlineLevel="0" collapsed="false">
      <c r="A105" s="6" t="s">
        <v>330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customFormat="false" ht="85.05" hidden="false" customHeight="false" outlineLevel="0" collapsed="false">
      <c r="A106" s="8" t="s">
        <v>331</v>
      </c>
      <c r="B106" s="29" t="n">
        <v>610000</v>
      </c>
      <c r="C106" s="8" t="s">
        <v>332</v>
      </c>
      <c r="D106" s="27" t="s">
        <v>333</v>
      </c>
      <c r="E106" s="21" t="s">
        <v>113</v>
      </c>
      <c r="F106" s="27" t="s">
        <v>334</v>
      </c>
    </row>
    <row r="107" customFormat="false" ht="53.7" hidden="false" customHeight="false" outlineLevel="0" collapsed="false">
      <c r="A107" s="8" t="s">
        <v>335</v>
      </c>
      <c r="B107" s="28" t="n">
        <v>0.4</v>
      </c>
      <c r="C107" s="8" t="s">
        <v>152</v>
      </c>
      <c r="D107" s="27" t="s">
        <v>336</v>
      </c>
      <c r="E107" s="21" t="s">
        <v>123</v>
      </c>
      <c r="F107" s="27" t="s">
        <v>337</v>
      </c>
    </row>
    <row r="108" customFormat="false" ht="22.35" hidden="false" customHeight="false" outlineLevel="0" collapsed="false">
      <c r="A108" s="8" t="s">
        <v>338</v>
      </c>
      <c r="B108" s="28" t="n">
        <v>0.3</v>
      </c>
      <c r="C108" s="8" t="s">
        <v>152</v>
      </c>
      <c r="D108" s="27" t="s">
        <v>339</v>
      </c>
      <c r="E108" s="21" t="s">
        <v>123</v>
      </c>
      <c r="F108" s="27"/>
    </row>
    <row r="109" customFormat="false" ht="64.15" hidden="false" customHeight="false" outlineLevel="0" collapsed="false">
      <c r="A109" s="8" t="s">
        <v>340</v>
      </c>
      <c r="B109" s="28" t="n">
        <v>0.3</v>
      </c>
      <c r="C109" s="8" t="s">
        <v>152</v>
      </c>
      <c r="D109" s="27" t="s">
        <v>341</v>
      </c>
      <c r="E109" s="21" t="s">
        <v>123</v>
      </c>
      <c r="F109" s="27" t="s">
        <v>342</v>
      </c>
    </row>
    <row r="110" customFormat="false" ht="64.15" hidden="false" customHeight="false" outlineLevel="0" collapsed="false">
      <c r="A110" s="8" t="s">
        <v>343</v>
      </c>
      <c r="B110" s="28" t="n">
        <v>0.7</v>
      </c>
      <c r="C110" s="8" t="s">
        <v>152</v>
      </c>
      <c r="D110" s="27" t="s">
        <v>344</v>
      </c>
      <c r="E110" s="21" t="s">
        <v>123</v>
      </c>
      <c r="F110" s="27"/>
    </row>
    <row r="111" customFormat="false" ht="22.35" hidden="false" customHeight="false" outlineLevel="0" collapsed="false">
      <c r="A111" s="8" t="s">
        <v>345</v>
      </c>
      <c r="B111" s="28" t="n">
        <v>0.25</v>
      </c>
      <c r="C111" s="8" t="s">
        <v>152</v>
      </c>
      <c r="D111" s="27" t="s">
        <v>346</v>
      </c>
      <c r="E111" s="21" t="s">
        <v>123</v>
      </c>
      <c r="F111" s="27"/>
    </row>
    <row r="112" customFormat="false" ht="22.35" hidden="false" customHeight="false" outlineLevel="0" collapsed="false">
      <c r="A112" s="8" t="s">
        <v>347</v>
      </c>
      <c r="B112" s="28" t="n">
        <v>0.05</v>
      </c>
      <c r="C112" s="8" t="s">
        <v>152</v>
      </c>
      <c r="D112" s="27" t="s">
        <v>346</v>
      </c>
      <c r="E112" s="21" t="s">
        <v>123</v>
      </c>
      <c r="F112" s="27"/>
    </row>
    <row r="113" customFormat="false" ht="15" hidden="false" customHeight="false" outlineLevel="0" collapsed="false">
      <c r="A113" s="7" t="s">
        <v>81</v>
      </c>
      <c r="B113" s="11" t="s">
        <v>82</v>
      </c>
      <c r="C113" s="11" t="s">
        <v>83</v>
      </c>
      <c r="D113" s="11" t="s">
        <v>68</v>
      </c>
      <c r="E113" s="11" t="s">
        <v>84</v>
      </c>
      <c r="F113" s="11" t="s">
        <v>85</v>
      </c>
      <c r="G113" s="11" t="s">
        <v>86</v>
      </c>
      <c r="H113" s="11" t="s">
        <v>87</v>
      </c>
      <c r="I113" s="11" t="s">
        <v>88</v>
      </c>
      <c r="J113" s="11" t="s">
        <v>89</v>
      </c>
      <c r="L113" s="7" t="s">
        <v>90</v>
      </c>
      <c r="M113" s="7" t="s">
        <v>91</v>
      </c>
      <c r="N113" s="7" t="s">
        <v>92</v>
      </c>
    </row>
    <row r="114" customFormat="false" ht="22.35" hidden="false" customHeight="false" outlineLevel="0" collapsed="false">
      <c r="A114" s="8" t="s">
        <v>348</v>
      </c>
      <c r="B114" s="38" t="n">
        <v>76.5</v>
      </c>
      <c r="C114" s="38" t="n">
        <v>80.1</v>
      </c>
      <c r="D114" s="38" t="n">
        <v>84.6</v>
      </c>
      <c r="E114" s="38" t="n">
        <v>90.5</v>
      </c>
      <c r="F114" s="38" t="n">
        <v>96.8</v>
      </c>
      <c r="G114" s="38" t="n">
        <v>103.5</v>
      </c>
      <c r="H114" s="38" t="n">
        <v>110.7</v>
      </c>
      <c r="I114" s="38" t="n">
        <v>118.4</v>
      </c>
      <c r="J114" s="38" t="n">
        <v>126.7</v>
      </c>
      <c r="L114" s="27" t="s">
        <v>349</v>
      </c>
      <c r="M114" s="21" t="s">
        <v>113</v>
      </c>
      <c r="N114" s="27" t="s">
        <v>350</v>
      </c>
    </row>
    <row r="115" customFormat="false" ht="15" hidden="false" customHeight="false" outlineLevel="0" collapsed="false">
      <c r="A115" s="8" t="s">
        <v>351</v>
      </c>
      <c r="B115" s="38" t="n">
        <v>8.9</v>
      </c>
      <c r="C115" s="38" t="n">
        <v>9.7</v>
      </c>
      <c r="D115" s="38" t="n">
        <v>10.8</v>
      </c>
      <c r="L115" s="27" t="s">
        <v>352</v>
      </c>
      <c r="M115" s="21" t="s">
        <v>113</v>
      </c>
      <c r="N115" s="27" t="s">
        <v>353</v>
      </c>
    </row>
    <row r="116" customFormat="false" ht="15" hidden="false" customHeight="false" outlineLevel="0" collapsed="false">
      <c r="A116" s="8" t="s">
        <v>354</v>
      </c>
      <c r="B116" s="39" t="n">
        <v>11.8</v>
      </c>
      <c r="C116" s="39" t="n">
        <v>12.4</v>
      </c>
      <c r="D116" s="39" t="n">
        <v>13.1</v>
      </c>
      <c r="L116" s="27" t="s">
        <v>355</v>
      </c>
      <c r="M116" s="21" t="s">
        <v>113</v>
      </c>
      <c r="N116" s="27" t="s">
        <v>356</v>
      </c>
    </row>
    <row r="117" customFormat="false" ht="53.7" hidden="false" customHeight="false" outlineLevel="0" collapsed="false">
      <c r="A117" s="8" t="s">
        <v>357</v>
      </c>
      <c r="B117" s="34" t="n">
        <v>0.128</v>
      </c>
      <c r="C117" s="8" t="s">
        <v>152</v>
      </c>
      <c r="D117" s="27" t="s">
        <v>358</v>
      </c>
      <c r="E117" s="21" t="s">
        <v>113</v>
      </c>
      <c r="F117" s="27" t="s">
        <v>359</v>
      </c>
    </row>
    <row r="118" customFormat="false" ht="53.7" hidden="false" customHeight="false" outlineLevel="0" collapsed="false">
      <c r="A118" s="8" t="s">
        <v>360</v>
      </c>
      <c r="B118" s="34" t="n">
        <v>0.149</v>
      </c>
      <c r="C118" s="8" t="s">
        <v>152</v>
      </c>
      <c r="D118" s="27" t="s">
        <v>361</v>
      </c>
      <c r="E118" s="21" t="s">
        <v>113</v>
      </c>
      <c r="F118" s="27" t="s">
        <v>362</v>
      </c>
    </row>
    <row r="119" customFormat="false" ht="74.6" hidden="false" customHeight="false" outlineLevel="0" collapsed="false">
      <c r="A119" s="8" t="s">
        <v>363</v>
      </c>
      <c r="B119" s="28" t="n">
        <v>0.18</v>
      </c>
      <c r="C119" s="8" t="s">
        <v>152</v>
      </c>
      <c r="D119" s="27" t="s">
        <v>364</v>
      </c>
      <c r="E119" s="21" t="s">
        <v>123</v>
      </c>
      <c r="F119" s="27" t="s">
        <v>365</v>
      </c>
    </row>
    <row r="120" customFormat="false" ht="53.7" hidden="false" customHeight="false" outlineLevel="0" collapsed="false">
      <c r="A120" s="8" t="s">
        <v>366</v>
      </c>
      <c r="B120" s="28" t="n">
        <v>0.225</v>
      </c>
      <c r="C120" s="8" t="s">
        <v>152</v>
      </c>
      <c r="D120" s="27" t="s">
        <v>367</v>
      </c>
      <c r="E120" s="21" t="s">
        <v>123</v>
      </c>
      <c r="F120" s="27" t="s">
        <v>368</v>
      </c>
    </row>
    <row r="121" customFormat="false" ht="53.7" hidden="false" customHeight="false" outlineLevel="0" collapsed="false">
      <c r="A121" s="8" t="s">
        <v>369</v>
      </c>
      <c r="B121" s="34" t="n">
        <v>0.06</v>
      </c>
      <c r="C121" s="8" t="s">
        <v>102</v>
      </c>
      <c r="D121" s="27" t="s">
        <v>370</v>
      </c>
      <c r="E121" s="21" t="s">
        <v>113</v>
      </c>
      <c r="F121" s="27" t="s">
        <v>371</v>
      </c>
    </row>
    <row r="122" customFormat="false" ht="64.15" hidden="false" customHeight="false" outlineLevel="0" collapsed="false">
      <c r="A122" s="8" t="s">
        <v>372</v>
      </c>
      <c r="B122" s="38" t="n">
        <v>130</v>
      </c>
      <c r="C122" s="8" t="s">
        <v>373</v>
      </c>
      <c r="D122" s="27" t="s">
        <v>374</v>
      </c>
      <c r="E122" s="21" t="s">
        <v>113</v>
      </c>
      <c r="F122" s="27" t="s">
        <v>375</v>
      </c>
    </row>
    <row r="123" customFormat="false" ht="22.35" hidden="false" customHeight="false" outlineLevel="0" collapsed="false">
      <c r="A123" s="8" t="s">
        <v>376</v>
      </c>
      <c r="B123" s="38" t="n">
        <v>170</v>
      </c>
      <c r="C123" s="8" t="s">
        <v>373</v>
      </c>
      <c r="D123" s="27" t="s">
        <v>377</v>
      </c>
      <c r="E123" s="21" t="s">
        <v>113</v>
      </c>
      <c r="F123" s="27"/>
    </row>
    <row r="125" customFormat="false" ht="15" hidden="false" customHeight="false" outlineLevel="0" collapsed="false">
      <c r="A125" s="6" t="s">
        <v>378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customFormat="false" ht="15" hidden="false" customHeight="false" outlineLevel="0" collapsed="false">
      <c r="A126" s="7" t="s">
        <v>379</v>
      </c>
      <c r="B126" s="40" t="s">
        <v>380</v>
      </c>
      <c r="C126" s="40" t="s">
        <v>381</v>
      </c>
      <c r="D126" s="40" t="s">
        <v>382</v>
      </c>
      <c r="E126" s="7" t="s">
        <v>383</v>
      </c>
      <c r="F126" s="7"/>
      <c r="G126" s="7"/>
      <c r="H126" s="7"/>
      <c r="I126" s="7"/>
      <c r="J126" s="7"/>
      <c r="K126" s="7"/>
      <c r="L126" s="7"/>
      <c r="M126" s="7"/>
      <c r="N126" s="7"/>
    </row>
    <row r="127" customFormat="false" ht="15" hidden="false" customHeight="true" outlineLevel="0" collapsed="false">
      <c r="A127" s="8" t="s">
        <v>384</v>
      </c>
      <c r="B127" s="36" t="n">
        <v>240</v>
      </c>
      <c r="C127" s="28" t="n">
        <v>0.27</v>
      </c>
      <c r="D127" s="28" t="n">
        <v>0.15</v>
      </c>
      <c r="E127" s="25" t="s">
        <v>385</v>
      </c>
      <c r="F127" s="25"/>
      <c r="G127" s="25"/>
      <c r="H127" s="25"/>
      <c r="I127" s="25"/>
      <c r="J127" s="25"/>
      <c r="K127" s="25"/>
      <c r="L127" s="25"/>
      <c r="M127" s="25"/>
      <c r="N127" s="25"/>
    </row>
    <row r="128" customFormat="false" ht="15" hidden="false" customHeight="true" outlineLevel="0" collapsed="false">
      <c r="A128" s="8" t="s">
        <v>386</v>
      </c>
      <c r="B128" s="36" t="n">
        <v>108</v>
      </c>
      <c r="C128" s="28" t="n">
        <v>0.13</v>
      </c>
      <c r="D128" s="28" t="n">
        <v>0.12</v>
      </c>
      <c r="E128" s="25" t="s">
        <v>387</v>
      </c>
      <c r="F128" s="25"/>
      <c r="G128" s="25"/>
      <c r="H128" s="25"/>
      <c r="I128" s="25"/>
      <c r="J128" s="25"/>
      <c r="K128" s="25"/>
      <c r="L128" s="25"/>
      <c r="M128" s="25"/>
      <c r="N128" s="25"/>
    </row>
    <row r="129" customFormat="false" ht="15" hidden="false" customHeight="true" outlineLevel="0" collapsed="false">
      <c r="A129" s="8" t="s">
        <v>388</v>
      </c>
      <c r="B129" s="36" t="n">
        <v>78</v>
      </c>
      <c r="C129" s="28" t="n">
        <v>0.09</v>
      </c>
      <c r="D129" s="28" t="n">
        <v>0.11</v>
      </c>
      <c r="E129" s="25" t="s">
        <v>389</v>
      </c>
      <c r="F129" s="25"/>
      <c r="G129" s="25"/>
      <c r="H129" s="25"/>
      <c r="I129" s="25"/>
      <c r="J129" s="25"/>
      <c r="K129" s="25"/>
      <c r="L129" s="25"/>
      <c r="M129" s="25"/>
      <c r="N129" s="25"/>
    </row>
    <row r="130" customFormat="false" ht="15" hidden="false" customHeight="true" outlineLevel="0" collapsed="false">
      <c r="A130" s="8" t="s">
        <v>390</v>
      </c>
      <c r="B130" s="36" t="n">
        <v>62</v>
      </c>
      <c r="C130" s="28" t="n">
        <v>0.07</v>
      </c>
      <c r="D130" s="28" t="n">
        <v>0.14</v>
      </c>
      <c r="E130" s="25" t="s">
        <v>391</v>
      </c>
      <c r="F130" s="25"/>
      <c r="G130" s="25"/>
      <c r="H130" s="25"/>
      <c r="I130" s="25"/>
      <c r="J130" s="25"/>
      <c r="K130" s="25"/>
      <c r="L130" s="25"/>
      <c r="M130" s="25"/>
      <c r="N130" s="25"/>
    </row>
    <row r="131" customFormat="false" ht="15" hidden="false" customHeight="true" outlineLevel="0" collapsed="false">
      <c r="A131" s="8" t="s">
        <v>392</v>
      </c>
      <c r="B131" s="36" t="n">
        <v>48</v>
      </c>
      <c r="C131" s="28" t="n">
        <v>0.06</v>
      </c>
      <c r="D131" s="28" t="n">
        <v>0.1</v>
      </c>
      <c r="E131" s="25" t="s">
        <v>393</v>
      </c>
      <c r="F131" s="25"/>
      <c r="G131" s="25"/>
      <c r="H131" s="25"/>
      <c r="I131" s="25"/>
      <c r="J131" s="25"/>
      <c r="K131" s="25"/>
      <c r="L131" s="25"/>
      <c r="M131" s="25"/>
      <c r="N131" s="25"/>
    </row>
    <row r="132" customFormat="false" ht="15" hidden="false" customHeight="true" outlineLevel="0" collapsed="false">
      <c r="A132" s="8" t="s">
        <v>394</v>
      </c>
      <c r="B132" s="36" t="n">
        <v>305</v>
      </c>
      <c r="C132" s="28" t="n">
        <v>0.2</v>
      </c>
      <c r="D132" s="28" t="n">
        <v>0.1</v>
      </c>
      <c r="E132" s="25" t="s">
        <v>395</v>
      </c>
      <c r="F132" s="25"/>
      <c r="G132" s="25"/>
      <c r="H132" s="25"/>
      <c r="I132" s="25"/>
      <c r="J132" s="25"/>
      <c r="K132" s="25"/>
      <c r="L132" s="25"/>
      <c r="M132" s="25"/>
      <c r="N132" s="25"/>
    </row>
    <row r="133" customFormat="false" ht="15" hidden="false" customHeight="true" outlineLevel="0" collapsed="false">
      <c r="A133" s="8" t="s">
        <v>396</v>
      </c>
      <c r="B133" s="41" t="s">
        <v>397</v>
      </c>
      <c r="E133" s="25" t="s">
        <v>398</v>
      </c>
      <c r="F133" s="25"/>
      <c r="G133" s="25"/>
      <c r="H133" s="25"/>
      <c r="I133" s="25"/>
      <c r="J133" s="25"/>
      <c r="K133" s="25"/>
      <c r="L133" s="25"/>
      <c r="M133" s="25"/>
      <c r="N133" s="25"/>
    </row>
    <row r="135" customFormat="false" ht="15" hidden="false" customHeight="false" outlineLevel="0" collapsed="false">
      <c r="A135" s="6" t="s">
        <v>399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customFormat="false" ht="32.8" hidden="false" customHeight="false" outlineLevel="0" collapsed="false">
      <c r="A136" s="8" t="s">
        <v>400</v>
      </c>
      <c r="B136" s="28" t="n">
        <v>0.35</v>
      </c>
      <c r="C136" s="8" t="s">
        <v>152</v>
      </c>
      <c r="D136" s="27" t="s">
        <v>401</v>
      </c>
      <c r="E136" s="21" t="s">
        <v>247</v>
      </c>
      <c r="F136" s="27" t="s">
        <v>402</v>
      </c>
    </row>
    <row r="137" customFormat="false" ht="43.25" hidden="false" customHeight="false" outlineLevel="0" collapsed="false">
      <c r="A137" s="8" t="s">
        <v>403</v>
      </c>
      <c r="B137" s="28" t="n">
        <v>0.125</v>
      </c>
      <c r="C137" s="8" t="s">
        <v>152</v>
      </c>
      <c r="D137" s="27" t="s">
        <v>404</v>
      </c>
      <c r="E137" s="21" t="s">
        <v>247</v>
      </c>
      <c r="F137" s="27" t="s">
        <v>405</v>
      </c>
    </row>
    <row r="138" customFormat="false" ht="32.8" hidden="false" customHeight="false" outlineLevel="0" collapsed="false">
      <c r="A138" s="8" t="s">
        <v>406</v>
      </c>
      <c r="B138" s="28" t="n">
        <v>0.1</v>
      </c>
      <c r="C138" s="8" t="s">
        <v>152</v>
      </c>
      <c r="D138" s="27" t="s">
        <v>250</v>
      </c>
      <c r="E138" s="21" t="s">
        <v>247</v>
      </c>
      <c r="F138" s="27"/>
    </row>
    <row r="139" customFormat="false" ht="64.15" hidden="false" customHeight="false" outlineLevel="0" collapsed="false">
      <c r="A139" s="8" t="s">
        <v>407</v>
      </c>
      <c r="B139" s="28" t="n">
        <v>0.425</v>
      </c>
      <c r="C139" s="8" t="s">
        <v>152</v>
      </c>
      <c r="D139" s="27" t="s">
        <v>408</v>
      </c>
      <c r="E139" s="21" t="s">
        <v>247</v>
      </c>
      <c r="F139" s="27" t="s">
        <v>409</v>
      </c>
    </row>
    <row r="141" customFormat="false" ht="15" hidden="false" customHeight="false" outlineLevel="0" collapsed="false">
      <c r="A141" s="6" t="s">
        <v>410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customFormat="false" ht="105.95" hidden="false" customHeight="false" outlineLevel="0" collapsed="false">
      <c r="A142" s="8" t="s">
        <v>411</v>
      </c>
      <c r="B142" s="36" t="n">
        <v>459</v>
      </c>
      <c r="C142" s="8" t="s">
        <v>373</v>
      </c>
      <c r="D142" s="27" t="s">
        <v>412</v>
      </c>
      <c r="E142" s="21" t="s">
        <v>109</v>
      </c>
      <c r="F142" s="27" t="s">
        <v>413</v>
      </c>
    </row>
    <row r="143" customFormat="false" ht="105.95" hidden="false" customHeight="false" outlineLevel="0" collapsed="false">
      <c r="A143" s="8" t="s">
        <v>414</v>
      </c>
      <c r="B143" s="36" t="n">
        <v>540</v>
      </c>
      <c r="C143" s="8" t="s">
        <v>373</v>
      </c>
      <c r="D143" s="27" t="s">
        <v>415</v>
      </c>
      <c r="E143" s="21" t="s">
        <v>123</v>
      </c>
      <c r="F143" s="27" t="s">
        <v>416</v>
      </c>
    </row>
    <row r="144" customFormat="false" ht="85.05" hidden="false" customHeight="false" outlineLevel="0" collapsed="false">
      <c r="A144" s="8" t="s">
        <v>417</v>
      </c>
      <c r="B144" s="28" t="n">
        <v>0.015</v>
      </c>
      <c r="C144" s="8" t="s">
        <v>102</v>
      </c>
      <c r="D144" s="27" t="s">
        <v>418</v>
      </c>
      <c r="E144" s="21" t="s">
        <v>133</v>
      </c>
      <c r="F144" s="27" t="s">
        <v>419</v>
      </c>
    </row>
    <row r="145" customFormat="false" ht="158.2" hidden="false" customHeight="false" outlineLevel="0" collapsed="false">
      <c r="A145" s="8" t="s">
        <v>420</v>
      </c>
      <c r="B145" s="28" t="n">
        <v>0.015</v>
      </c>
      <c r="C145" s="8" t="s">
        <v>102</v>
      </c>
      <c r="D145" s="27" t="s">
        <v>421</v>
      </c>
      <c r="E145" s="21" t="s">
        <v>133</v>
      </c>
      <c r="F145" s="27" t="s">
        <v>422</v>
      </c>
    </row>
    <row r="146" customFormat="false" ht="85.05" hidden="false" customHeight="false" outlineLevel="0" collapsed="false">
      <c r="A146" s="8" t="s">
        <v>423</v>
      </c>
      <c r="B146" s="34" t="n">
        <v>0.8</v>
      </c>
      <c r="C146" s="8" t="s">
        <v>152</v>
      </c>
      <c r="D146" s="27" t="s">
        <v>424</v>
      </c>
      <c r="E146" s="21" t="s">
        <v>123</v>
      </c>
      <c r="F146" s="27" t="s">
        <v>425</v>
      </c>
    </row>
    <row r="147" customFormat="false" ht="74.6" hidden="false" customHeight="false" outlineLevel="0" collapsed="false">
      <c r="A147" s="8" t="s">
        <v>426</v>
      </c>
      <c r="B147" s="28" t="n">
        <v>0.15</v>
      </c>
      <c r="C147" s="8" t="s">
        <v>152</v>
      </c>
      <c r="D147" s="27" t="s">
        <v>427</v>
      </c>
      <c r="E147" s="21" t="s">
        <v>133</v>
      </c>
      <c r="F147" s="27" t="s">
        <v>428</v>
      </c>
    </row>
    <row r="149" customFormat="false" ht="15" hidden="false" customHeight="false" outlineLevel="0" collapsed="false">
      <c r="A149" s="6" t="s">
        <v>429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customFormat="false" ht="74.6" hidden="false" customHeight="false" outlineLevel="0" collapsed="false">
      <c r="A150" s="8" t="s">
        <v>430</v>
      </c>
      <c r="B150" s="42" t="n">
        <v>6.5</v>
      </c>
      <c r="C150" s="8" t="s">
        <v>431</v>
      </c>
      <c r="D150" s="27" t="s">
        <v>432</v>
      </c>
      <c r="E150" s="21" t="s">
        <v>123</v>
      </c>
      <c r="F150" s="27" t="s">
        <v>433</v>
      </c>
    </row>
    <row r="151" customFormat="false" ht="53.7" hidden="false" customHeight="false" outlineLevel="0" collapsed="false">
      <c r="A151" s="8" t="s">
        <v>434</v>
      </c>
      <c r="B151" s="42" t="n">
        <v>7.25</v>
      </c>
      <c r="C151" s="8" t="s">
        <v>431</v>
      </c>
      <c r="D151" s="27" t="s">
        <v>435</v>
      </c>
      <c r="E151" s="21" t="s">
        <v>123</v>
      </c>
      <c r="F151" s="27" t="s">
        <v>436</v>
      </c>
    </row>
    <row r="152" customFormat="false" ht="43.25" hidden="false" customHeight="false" outlineLevel="0" collapsed="false">
      <c r="A152" s="8" t="s">
        <v>437</v>
      </c>
      <c r="B152" s="36" t="n">
        <v>360</v>
      </c>
      <c r="C152" s="8" t="s">
        <v>373</v>
      </c>
      <c r="D152" s="27" t="s">
        <v>438</v>
      </c>
      <c r="E152" s="21" t="s">
        <v>123</v>
      </c>
      <c r="F152" s="27"/>
    </row>
    <row r="153" customFormat="false" ht="43.25" hidden="false" customHeight="false" outlineLevel="0" collapsed="false">
      <c r="A153" s="8" t="s">
        <v>439</v>
      </c>
      <c r="B153" s="36" t="n">
        <v>8</v>
      </c>
      <c r="C153" s="8" t="s">
        <v>373</v>
      </c>
      <c r="D153" s="27" t="s">
        <v>440</v>
      </c>
      <c r="E153" s="21" t="s">
        <v>123</v>
      </c>
      <c r="F153" s="27" t="s">
        <v>441</v>
      </c>
    </row>
    <row r="154" customFormat="false" ht="53.7" hidden="false" customHeight="false" outlineLevel="0" collapsed="false">
      <c r="A154" s="8" t="s">
        <v>442</v>
      </c>
      <c r="B154" s="42" t="n">
        <v>10</v>
      </c>
      <c r="C154" s="8" t="s">
        <v>431</v>
      </c>
      <c r="D154" s="27" t="s">
        <v>443</v>
      </c>
      <c r="E154" s="21" t="s">
        <v>123</v>
      </c>
      <c r="F154" s="27" t="s">
        <v>444</v>
      </c>
    </row>
    <row r="155" customFormat="false" ht="43.25" hidden="false" customHeight="false" outlineLevel="0" collapsed="false">
      <c r="A155" s="8" t="s">
        <v>445</v>
      </c>
      <c r="B155" s="42" t="n">
        <v>8.5</v>
      </c>
      <c r="C155" s="8" t="s">
        <v>431</v>
      </c>
      <c r="D155" s="27" t="s">
        <v>446</v>
      </c>
      <c r="E155" s="21" t="s">
        <v>123</v>
      </c>
      <c r="F155" s="27" t="s">
        <v>447</v>
      </c>
    </row>
    <row r="156" customFormat="false" ht="43.25" hidden="false" customHeight="false" outlineLevel="0" collapsed="false">
      <c r="A156" s="8" t="s">
        <v>448</v>
      </c>
      <c r="B156" s="26" t="n">
        <v>48.3</v>
      </c>
      <c r="C156" s="8" t="s">
        <v>140</v>
      </c>
      <c r="D156" s="27" t="s">
        <v>449</v>
      </c>
      <c r="E156" s="21" t="s">
        <v>450</v>
      </c>
      <c r="F156" s="27" t="s">
        <v>451</v>
      </c>
    </row>
    <row r="158" customFormat="false" ht="15" hidden="false" customHeight="false" outlineLevel="0" collapsed="false">
      <c r="A158" s="6" t="s">
        <v>452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customFormat="false" ht="116.4" hidden="false" customHeight="false" outlineLevel="0" collapsed="false">
      <c r="A159" s="8" t="s">
        <v>453</v>
      </c>
      <c r="B159" s="43" t="n">
        <v>25</v>
      </c>
      <c r="C159" s="8" t="s">
        <v>454</v>
      </c>
      <c r="D159" s="27" t="s">
        <v>455</v>
      </c>
      <c r="E159" s="21" t="s">
        <v>196</v>
      </c>
      <c r="F159" s="27" t="s">
        <v>456</v>
      </c>
    </row>
    <row r="160" customFormat="false" ht="64.15" hidden="false" customHeight="false" outlineLevel="0" collapsed="false">
      <c r="A160" s="8" t="s">
        <v>457</v>
      </c>
      <c r="B160" s="28" t="n">
        <v>0.083</v>
      </c>
      <c r="C160" s="8" t="s">
        <v>152</v>
      </c>
      <c r="D160" s="27" t="s">
        <v>458</v>
      </c>
      <c r="E160" s="21" t="s">
        <v>196</v>
      </c>
      <c r="F160" s="27" t="s">
        <v>459</v>
      </c>
    </row>
    <row r="161" customFormat="false" ht="53.7" hidden="false" customHeight="false" outlineLevel="0" collapsed="false">
      <c r="A161" s="8" t="s">
        <v>460</v>
      </c>
      <c r="B161" s="28" t="n">
        <v>0.273</v>
      </c>
      <c r="C161" s="8" t="s">
        <v>152</v>
      </c>
      <c r="D161" s="27" t="s">
        <v>461</v>
      </c>
      <c r="E161" s="21" t="s">
        <v>196</v>
      </c>
      <c r="F161" s="27"/>
    </row>
    <row r="162" customFormat="false" ht="53.7" hidden="false" customHeight="false" outlineLevel="0" collapsed="false">
      <c r="A162" s="8" t="s">
        <v>462</v>
      </c>
      <c r="B162" s="28" t="n">
        <v>0.552</v>
      </c>
      <c r="C162" s="8" t="s">
        <v>152</v>
      </c>
      <c r="D162" s="27" t="s">
        <v>463</v>
      </c>
      <c r="E162" s="21" t="s">
        <v>196</v>
      </c>
      <c r="F162" s="27" t="s">
        <v>464</v>
      </c>
    </row>
    <row r="163" customFormat="false" ht="53.7" hidden="false" customHeight="false" outlineLevel="0" collapsed="false">
      <c r="A163" s="8" t="s">
        <v>465</v>
      </c>
      <c r="B163" s="28" t="n">
        <v>0.091</v>
      </c>
      <c r="C163" s="8" t="s">
        <v>152</v>
      </c>
      <c r="D163" s="27" t="s">
        <v>466</v>
      </c>
      <c r="E163" s="21" t="s">
        <v>196</v>
      </c>
      <c r="F163" s="27"/>
    </row>
    <row r="164" customFormat="false" ht="74.6" hidden="false" customHeight="false" outlineLevel="0" collapsed="false">
      <c r="A164" s="8" t="s">
        <v>467</v>
      </c>
      <c r="B164" s="36" t="n">
        <v>6.79</v>
      </c>
      <c r="C164" s="8" t="s">
        <v>185</v>
      </c>
      <c r="D164" s="27" t="s">
        <v>468</v>
      </c>
      <c r="E164" s="21" t="s">
        <v>196</v>
      </c>
      <c r="F164" s="27"/>
    </row>
    <row r="165" customFormat="false" ht="43.25" hidden="false" customHeight="false" outlineLevel="0" collapsed="false">
      <c r="A165" s="8" t="s">
        <v>469</v>
      </c>
      <c r="B165" s="36" t="n">
        <v>7.93</v>
      </c>
      <c r="C165" s="8" t="s">
        <v>185</v>
      </c>
      <c r="D165" s="27" t="s">
        <v>470</v>
      </c>
      <c r="E165" s="21" t="s">
        <v>196</v>
      </c>
      <c r="F165" s="27"/>
    </row>
    <row r="166" customFormat="false" ht="43.25" hidden="false" customHeight="false" outlineLevel="0" collapsed="false">
      <c r="A166" s="8" t="s">
        <v>471</v>
      </c>
      <c r="B166" s="36" t="n">
        <v>9.19</v>
      </c>
      <c r="C166" s="8" t="s">
        <v>185</v>
      </c>
      <c r="D166" s="27" t="s">
        <v>472</v>
      </c>
      <c r="E166" s="21" t="s">
        <v>196</v>
      </c>
      <c r="F166" s="27"/>
    </row>
    <row r="167" customFormat="false" ht="53.7" hidden="false" customHeight="false" outlineLevel="0" collapsed="false">
      <c r="A167" s="8" t="s">
        <v>473</v>
      </c>
      <c r="B167" s="36" t="n">
        <v>13.99</v>
      </c>
      <c r="C167" s="8" t="s">
        <v>185</v>
      </c>
      <c r="D167" s="27" t="s">
        <v>474</v>
      </c>
      <c r="E167" s="21" t="s">
        <v>196</v>
      </c>
      <c r="F167" s="27"/>
    </row>
    <row r="169" customFormat="false" ht="27.75" hidden="false" customHeight="true" outlineLevel="0" collapsed="false">
      <c r="A169" s="25" t="s">
        <v>475</v>
      </c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</row>
  </sheetData>
  <mergeCells count="29">
    <mergeCell ref="A1:N1"/>
    <mergeCell ref="A2:N2"/>
    <mergeCell ref="A4:N4"/>
    <mergeCell ref="A10:N10"/>
    <mergeCell ref="A15:N15"/>
    <mergeCell ref="A22:N22"/>
    <mergeCell ref="A28:N28"/>
    <mergeCell ref="A34:N34"/>
    <mergeCell ref="A42:N42"/>
    <mergeCell ref="A57:N57"/>
    <mergeCell ref="A62:N62"/>
    <mergeCell ref="A68:N68"/>
    <mergeCell ref="A80:N80"/>
    <mergeCell ref="A93:N93"/>
    <mergeCell ref="A105:N105"/>
    <mergeCell ref="A125:N125"/>
    <mergeCell ref="E126:N126"/>
    <mergeCell ref="E127:N127"/>
    <mergeCell ref="E128:N128"/>
    <mergeCell ref="E129:N129"/>
    <mergeCell ref="E130:N130"/>
    <mergeCell ref="E131:N131"/>
    <mergeCell ref="E132:N132"/>
    <mergeCell ref="E133:N133"/>
    <mergeCell ref="A135:N135"/>
    <mergeCell ref="A141:N141"/>
    <mergeCell ref="A149:N149"/>
    <mergeCell ref="A158:N158"/>
    <mergeCell ref="A169:N16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K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10" min="2" style="0" width="11"/>
    <col collapsed="false" customWidth="true" hidden="false" outlineLevel="0" max="11" min="11" style="0" width="40"/>
  </cols>
  <sheetData>
    <row r="1" customFormat="false" ht="25.5" hidden="false" customHeight="true" outlineLevel="0" collapsed="false">
      <c r="A1" s="9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15" hidden="false" customHeight="false" outlineLevel="0" collapsed="false">
      <c r="A4" s="6" t="s">
        <v>478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customFormat="false" ht="15" hidden="false" customHeight="false" outlineLevel="0" collapsed="false">
      <c r="A5" s="7" t="s">
        <v>479</v>
      </c>
      <c r="B5" s="11" t="s">
        <v>82</v>
      </c>
      <c r="C5" s="11" t="s">
        <v>83</v>
      </c>
      <c r="D5" s="11" t="s">
        <v>68</v>
      </c>
      <c r="E5" s="11" t="s">
        <v>84</v>
      </c>
      <c r="F5" s="11" t="s">
        <v>85</v>
      </c>
      <c r="G5" s="11" t="s">
        <v>86</v>
      </c>
      <c r="H5" s="11" t="s">
        <v>87</v>
      </c>
      <c r="I5" s="11" t="s">
        <v>88</v>
      </c>
      <c r="J5" s="11" t="s">
        <v>89</v>
      </c>
      <c r="K5" s="7" t="s">
        <v>92</v>
      </c>
    </row>
    <row r="6" customFormat="false" ht="15" hidden="false" customHeight="false" outlineLevel="0" collapsed="false">
      <c r="A6" s="8" t="s">
        <v>480</v>
      </c>
      <c r="B6" s="44" t="n">
        <f aca="false">Assumptions!$B$11*(1+Assumptions!$B$12)^-2</f>
        <v>5.12729340789191</v>
      </c>
      <c r="C6" s="44" t="n">
        <f aca="false">Assumptions!$B$11*(1+Assumptions!$B$12)^-1</f>
        <v>5.17343904856293</v>
      </c>
      <c r="D6" s="44" t="n">
        <f aca="false">Assumptions!$B$11*(1+Assumptions!$B$12)^0</f>
        <v>5.22</v>
      </c>
      <c r="E6" s="44" t="n">
        <f aca="false">Assumptions!$B$11*(1+Assumptions!$B$12)^1</f>
        <v>5.26698</v>
      </c>
      <c r="F6" s="44" t="n">
        <f aca="false">Assumptions!$B$11*(1+Assumptions!$B$12)^2</f>
        <v>5.31438282</v>
      </c>
      <c r="G6" s="44" t="n">
        <f aca="false">Assumptions!$B$11*(1+Assumptions!$B$12)^3</f>
        <v>5.36221226538</v>
      </c>
      <c r="H6" s="44" t="n">
        <f aca="false">Assumptions!$B$11*(1+Assumptions!$B$12)^4</f>
        <v>5.41047217576842</v>
      </c>
      <c r="I6" s="44" t="n">
        <f aca="false">Assumptions!$B$11*(1+Assumptions!$B$12)^5</f>
        <v>5.45916642535033</v>
      </c>
      <c r="J6" s="44" t="n">
        <f aca="false">Assumptions!$B$11*(1+Assumptions!$B$12)^6</f>
        <v>5.50829892317849</v>
      </c>
    </row>
    <row r="7" customFormat="false" ht="15" hidden="false" customHeight="false" outlineLevel="0" collapsed="false">
      <c r="A7" s="8" t="s">
        <v>481</v>
      </c>
      <c r="B7" s="45" t="n">
        <f aca="false">Assumptions!$B$16*(1+Assumptions!$B$19)^-2</f>
        <v>225.827351538239</v>
      </c>
      <c r="C7" s="45" t="n">
        <f aca="false">Assumptions!$B$16*(1+Assumptions!$B$19)^-1</f>
        <v>227.408142999007</v>
      </c>
      <c r="D7" s="45" t="n">
        <f aca="false">Assumptions!$B$16*(1+Assumptions!$B$19)^0</f>
        <v>229</v>
      </c>
      <c r="E7" s="45" t="n">
        <f aca="false">Assumptions!$B$16*(1+Assumptions!$B$19)^1</f>
        <v>230.603</v>
      </c>
      <c r="F7" s="45" t="n">
        <f aca="false">Assumptions!$B$16*(1+Assumptions!$B$19)^2</f>
        <v>232.217221</v>
      </c>
      <c r="G7" s="45" t="n">
        <f aca="false">Assumptions!$B$16*(1+Assumptions!$B$19)^3</f>
        <v>233.842741547</v>
      </c>
      <c r="H7" s="45" t="n">
        <f aca="false">Assumptions!$B$16*(1+Assumptions!$B$19)^4</f>
        <v>235.479640737829</v>
      </c>
      <c r="I7" s="45" t="n">
        <f aca="false">Assumptions!$B$16*(1+Assumptions!$B$19)^5</f>
        <v>237.127998222994</v>
      </c>
      <c r="J7" s="45" t="n">
        <f aca="false">Assumptions!$B$16*(1+Assumptions!$B$19)^6</f>
        <v>238.787894210555</v>
      </c>
    </row>
    <row r="8" customFormat="false" ht="15" hidden="false" customHeight="false" outlineLevel="0" collapsed="false">
      <c r="A8" s="8" t="s">
        <v>482</v>
      </c>
      <c r="B8" s="46" t="n">
        <f aca="false">B6*B7</f>
        <v>1157.8830908637</v>
      </c>
      <c r="C8" s="46" t="n">
        <f aca="false">C6*C7</f>
        <v>1176.48216695225</v>
      </c>
      <c r="D8" s="46" t="n">
        <f aca="false">D6*D7</f>
        <v>1195.38</v>
      </c>
      <c r="E8" s="46" t="n">
        <f aca="false">E6*E7</f>
        <v>1214.58138894</v>
      </c>
      <c r="F8" s="46" t="n">
        <f aca="false">F6*F7</f>
        <v>1234.09120979054</v>
      </c>
      <c r="G8" s="46" t="n">
        <f aca="false">G6*G7</f>
        <v>1253.91441689341</v>
      </c>
      <c r="H8" s="46" t="n">
        <f aca="false">H6*H7</f>
        <v>1274.05604417197</v>
      </c>
      <c r="I8" s="46" t="n">
        <f aca="false">I6*I7</f>
        <v>1294.5212064095</v>
      </c>
      <c r="J8" s="46" t="n">
        <f aca="false">J6*J7</f>
        <v>1315.31510054806</v>
      </c>
    </row>
    <row r="9" customFormat="false" ht="15" hidden="false" customHeight="false" outlineLevel="0" collapsed="false">
      <c r="A9" s="8" t="s">
        <v>483</v>
      </c>
      <c r="B9" s="46" t="n">
        <f aca="false">B8/12</f>
        <v>96.4902575719752</v>
      </c>
      <c r="C9" s="46" t="n">
        <f aca="false">C8/12</f>
        <v>98.0401805793539</v>
      </c>
      <c r="D9" s="46" t="n">
        <f aca="false">D8/12</f>
        <v>99.615</v>
      </c>
      <c r="E9" s="46" t="n">
        <f aca="false">E8/12</f>
        <v>101.215115745</v>
      </c>
      <c r="F9" s="46" t="n">
        <f aca="false">F8/12</f>
        <v>102.840934149212</v>
      </c>
      <c r="G9" s="46" t="n">
        <f aca="false">G8/12</f>
        <v>104.492868074451</v>
      </c>
      <c r="H9" s="46" t="n">
        <f aca="false">H8/12</f>
        <v>106.171337014331</v>
      </c>
      <c r="I9" s="46" t="n">
        <f aca="false">I8/12</f>
        <v>107.876767200792</v>
      </c>
      <c r="J9" s="46" t="n">
        <f aca="false">J8/12</f>
        <v>109.609591712338</v>
      </c>
    </row>
    <row r="10" customFormat="false" ht="15" hidden="false" customHeight="false" outlineLevel="0" collapsed="false">
      <c r="A10" s="8" t="s">
        <v>484</v>
      </c>
      <c r="B10" s="47" t="n">
        <f aca="false">Assumptions!$B$35</f>
        <v>0.7</v>
      </c>
      <c r="C10" s="47" t="n">
        <f aca="false">Assumptions!$B$35</f>
        <v>0.7</v>
      </c>
      <c r="D10" s="47" t="n">
        <f aca="false">Assumptions!$B$35</f>
        <v>0.7</v>
      </c>
      <c r="E10" s="47" t="n">
        <f aca="false">Assumptions!$B$35</f>
        <v>0.7</v>
      </c>
      <c r="F10" s="47" t="n">
        <f aca="false">Assumptions!$B$35</f>
        <v>0.7</v>
      </c>
      <c r="G10" s="47" t="n">
        <f aca="false">Assumptions!$B$35</f>
        <v>0.7</v>
      </c>
      <c r="H10" s="47" t="n">
        <f aca="false">Assumptions!$B$35</f>
        <v>0.7</v>
      </c>
      <c r="I10" s="47" t="n">
        <f aca="false">Assumptions!$B$35</f>
        <v>0.7</v>
      </c>
      <c r="J10" s="47" t="n">
        <f aca="false">Assumptions!$B$35</f>
        <v>0.7</v>
      </c>
    </row>
    <row r="11" customFormat="false" ht="15" hidden="false" customHeight="false" outlineLevel="0" collapsed="false">
      <c r="A11" s="8" t="s">
        <v>485</v>
      </c>
      <c r="B11" s="46" t="n">
        <f aca="false">B9*B10</f>
        <v>67.5431803003827</v>
      </c>
      <c r="C11" s="46" t="n">
        <f aca="false">C9*C10</f>
        <v>68.6281264055477</v>
      </c>
      <c r="D11" s="46" t="n">
        <f aca="false">D9*D10</f>
        <v>69.7305</v>
      </c>
      <c r="E11" s="46" t="n">
        <f aca="false">E9*E10</f>
        <v>70.8505810215</v>
      </c>
      <c r="F11" s="46" t="n">
        <f aca="false">F9*F10</f>
        <v>71.9886539044483</v>
      </c>
      <c r="G11" s="46" t="n">
        <f aca="false">G9*G10</f>
        <v>73.1450076521155</v>
      </c>
      <c r="H11" s="46" t="n">
        <f aca="false">H9*H10</f>
        <v>74.3199359100314</v>
      </c>
      <c r="I11" s="46" t="n">
        <f aca="false">I9*I10</f>
        <v>75.5137370405542</v>
      </c>
      <c r="J11" s="46" t="n">
        <f aca="false">J9*J10</f>
        <v>76.7267141986366</v>
      </c>
    </row>
    <row r="12" customFormat="false" ht="15" hidden="false" customHeight="false" outlineLevel="0" collapsed="false">
      <c r="A12" s="17" t="s">
        <v>486</v>
      </c>
      <c r="B12" s="48" t="n">
        <f aca="false">Assumptions!$B$142*(1+Assumptions!$B$12)^-2*(1+Assumptions!$B$19)^-2*(1+Assumptions!$B$144)^-2</f>
        <v>431.558154728524</v>
      </c>
      <c r="C12" s="48" t="n">
        <f aca="false">Assumptions!$B$142*(1+Assumptions!$B$12)^-1*(1+Assumptions!$B$19)^-1*(1+Assumptions!$B$144)^-1</f>
        <v>445.067627468448</v>
      </c>
      <c r="D12" s="48" t="n">
        <f aca="false">Assumptions!$B$142*(1+Assumptions!$B$12)^0*(1+Assumptions!$B$19)^0*(1+Assumptions!$B$144)^0</f>
        <v>459</v>
      </c>
      <c r="E12" s="48" t="n">
        <f aca="false">Assumptions!$B$142*(1+Assumptions!$B$12)^1*(1+Assumptions!$B$19)^1*(1+Assumptions!$B$144)^1</f>
        <v>473.368510755</v>
      </c>
      <c r="F12" s="48" t="n">
        <f aca="false">Assumptions!$B$142*(1+Assumptions!$B$12)^2*(1+Assumptions!$B$19)^2*(1+Assumptions!$B$144)^2</f>
        <v>488.186812580406</v>
      </c>
      <c r="G12" s="48" t="n">
        <f aca="false">Assumptions!$B$142*(1+Assumptions!$B$12)^3*(1+Assumptions!$B$19)^3*(1+Assumptions!$B$144)^3</f>
        <v>503.468985711148</v>
      </c>
      <c r="H12" s="48" t="n">
        <f aca="false">Assumptions!$B$142*(1+Assumptions!$B$12)^4*(1+Assumptions!$B$19)^4*(1+Assumptions!$B$144)^4</f>
        <v>519.229551149056</v>
      </c>
      <c r="I12" s="48" t="n">
        <f aca="false">Assumptions!$B$142*(1+Assumptions!$B$12)^5*(1+Assumptions!$B$19)^5*(1+Assumptions!$B$144)^5</f>
        <v>535.4834844606</v>
      </c>
      <c r="J12" s="48" t="n">
        <f aca="false">Assumptions!$B$142*(1+Assumptions!$B$12)^6*(1+Assumptions!$B$19)^6*(1+Assumptions!$B$144)^6</f>
        <v>552.246230006563</v>
      </c>
    </row>
    <row r="13" customFormat="false" ht="15" hidden="false" customHeight="false" outlineLevel="0" collapsed="false">
      <c r="A13" s="8" t="s">
        <v>487</v>
      </c>
      <c r="B13" s="49" t="n">
        <f aca="false">B12/B11</f>
        <v>6.38936681407759</v>
      </c>
      <c r="C13" s="49" t="n">
        <f aca="false">C12/C11</f>
        <v>6.48520731628876</v>
      </c>
      <c r="D13" s="49" t="n">
        <f aca="false">D12/D11</f>
        <v>6.58248542603309</v>
      </c>
      <c r="E13" s="49" t="n">
        <f aca="false">E12/E11</f>
        <v>6.68122270742358</v>
      </c>
      <c r="F13" s="49" t="n">
        <f aca="false">F12/F11</f>
        <v>6.78144104803493</v>
      </c>
      <c r="G13" s="49" t="n">
        <f aca="false">G12/G11</f>
        <v>6.88316266375546</v>
      </c>
      <c r="H13" s="49" t="n">
        <f aca="false">H12/H11</f>
        <v>6.98641010371179</v>
      </c>
      <c r="I13" s="49" t="n">
        <f aca="false">I12/I11</f>
        <v>7.09120625526747</v>
      </c>
      <c r="J13" s="49" t="n">
        <f aca="false">J12/J11</f>
        <v>7.19757434909648</v>
      </c>
    </row>
    <row r="14" customFormat="false" ht="15" hidden="false" customHeight="false" outlineLevel="0" collapsed="false">
      <c r="A14" s="17" t="s">
        <v>488</v>
      </c>
      <c r="B14" s="50" t="n">
        <f aca="false">B12*Assumptions!$B$6</f>
        <v>282.239033192455</v>
      </c>
      <c r="C14" s="50" t="n">
        <f aca="false">C12*Assumptions!$C$6</f>
        <v>278.16726716778</v>
      </c>
      <c r="D14" s="50" t="n">
        <f aca="false">D12*Assumptions!$D$6</f>
        <v>276.318</v>
      </c>
      <c r="E14" s="50" t="n">
        <f aca="false">E12*Assumptions!$E$6</f>
        <v>276.920578791675</v>
      </c>
      <c r="F14" s="50" t="n">
        <f aca="false">F12*Assumptions!$F$6</f>
        <v>290.471153485342</v>
      </c>
      <c r="G14" s="50" t="n">
        <f aca="false">G12*Assumptions!$G$6</f>
        <v>307.116081283801</v>
      </c>
      <c r="H14" s="50" t="n">
        <f aca="false">H12*Assumptions!$H$6</f>
        <v>321.922321712415</v>
      </c>
      <c r="I14" s="50" t="n">
        <f aca="false">I12*Assumptions!$I$6</f>
        <v>334.677177787875</v>
      </c>
      <c r="J14" s="50" t="n">
        <f aca="false">J12*Assumptions!$J$6</f>
        <v>345.153893754102</v>
      </c>
    </row>
    <row r="15" customFormat="false" ht="22.35" hidden="false" customHeight="true" outlineLevel="0" collapsed="false">
      <c r="A15" s="25" t="s">
        <v>489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7" customFormat="false" ht="15" hidden="false" customHeight="false" outlineLevel="0" collapsed="false">
      <c r="A17" s="6" t="s">
        <v>490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customFormat="false" ht="15" hidden="false" customHeight="false" outlineLevel="0" collapsed="false">
      <c r="A18" s="7" t="s">
        <v>479</v>
      </c>
      <c r="B18" s="11" t="s">
        <v>82</v>
      </c>
      <c r="C18" s="11" t="s">
        <v>83</v>
      </c>
      <c r="D18" s="11" t="s">
        <v>68</v>
      </c>
      <c r="E18" s="11" t="s">
        <v>84</v>
      </c>
      <c r="F18" s="11" t="s">
        <v>85</v>
      </c>
      <c r="G18" s="11" t="s">
        <v>86</v>
      </c>
      <c r="H18" s="11" t="s">
        <v>87</v>
      </c>
      <c r="I18" s="11" t="s">
        <v>88</v>
      </c>
      <c r="J18" s="11" t="s">
        <v>89</v>
      </c>
      <c r="K18" s="7" t="s">
        <v>92</v>
      </c>
    </row>
    <row r="19" customFormat="false" ht="15" hidden="false" customHeight="false" outlineLevel="0" collapsed="false">
      <c r="A19" s="8" t="s">
        <v>491</v>
      </c>
      <c r="B19" s="44" t="n">
        <f aca="false">Assumptions!$B$24*(1+Assumptions!$B$145)^-2</f>
        <v>3.63998155742678</v>
      </c>
      <c r="C19" s="44" t="n">
        <f aca="false">Assumptions!$B$24*(1+Assumptions!$B$145)^-1</f>
        <v>3.69458128078818</v>
      </c>
      <c r="D19" s="44" t="n">
        <f aca="false">Assumptions!$B$24*(1+Assumptions!$B$145)^0</f>
        <v>3.75</v>
      </c>
      <c r="E19" s="44" t="n">
        <f aca="false">Assumptions!$B$24*(1+Assumptions!$B$145)^1</f>
        <v>3.80625</v>
      </c>
      <c r="F19" s="44" t="n">
        <f aca="false">Assumptions!$B$24*(1+Assumptions!$B$145)^2</f>
        <v>3.86334375</v>
      </c>
      <c r="G19" s="44" t="n">
        <f aca="false">Assumptions!$B$24*(1+Assumptions!$B$145)^3</f>
        <v>3.92129390625</v>
      </c>
      <c r="H19" s="44" t="n">
        <f aca="false">Assumptions!$B$24*(1+Assumptions!$B$145)^4</f>
        <v>3.98011331484375</v>
      </c>
      <c r="I19" s="44" t="n">
        <f aca="false">Assumptions!$B$24*(1+Assumptions!$B$145)^5</f>
        <v>4.0398150145664</v>
      </c>
      <c r="J19" s="44" t="n">
        <f aca="false">Assumptions!$B$24*(1+Assumptions!$B$145)^6</f>
        <v>4.1004122397849</v>
      </c>
    </row>
    <row r="20" customFormat="false" ht="15" hidden="false" customHeight="false" outlineLevel="0" collapsed="false">
      <c r="A20" s="8" t="s">
        <v>492</v>
      </c>
      <c r="B20" s="51" t="n">
        <f aca="false">B19*Assumptions!$B$25*Assumptions!$B$26</f>
        <v>982.79502050523</v>
      </c>
      <c r="C20" s="51" t="n">
        <f aca="false">C19*Assumptions!$B$25*Assumptions!$B$26</f>
        <v>997.536945812808</v>
      </c>
      <c r="D20" s="51" t="n">
        <f aca="false">D19*Assumptions!$B$25*Assumptions!$B$26</f>
        <v>1012.5</v>
      </c>
      <c r="E20" s="51" t="n">
        <f aca="false">E19*Assumptions!$B$25*Assumptions!$B$26</f>
        <v>1027.6875</v>
      </c>
      <c r="F20" s="51" t="n">
        <f aca="false">F19*Assumptions!$B$25*Assumptions!$B$26</f>
        <v>1043.1028125</v>
      </c>
      <c r="G20" s="51" t="n">
        <f aca="false">G19*Assumptions!$B$25*Assumptions!$B$26</f>
        <v>1058.7493546875</v>
      </c>
      <c r="H20" s="51" t="n">
        <f aca="false">H19*Assumptions!$B$25*Assumptions!$B$26</f>
        <v>1074.63059500781</v>
      </c>
      <c r="I20" s="51" t="n">
        <f aca="false">I19*Assumptions!$B$25*Assumptions!$B$26</f>
        <v>1090.75005393293</v>
      </c>
      <c r="J20" s="51" t="n">
        <f aca="false">J19*Assumptions!$B$25*Assumptions!$B$26</f>
        <v>1107.11130474192</v>
      </c>
    </row>
    <row r="21" customFormat="false" ht="15" hidden="false" customHeight="false" outlineLevel="0" collapsed="false">
      <c r="A21" s="8" t="s">
        <v>493</v>
      </c>
      <c r="B21" s="46" t="n">
        <f aca="false">B20/12</f>
        <v>81.8995850421025</v>
      </c>
      <c r="C21" s="46" t="n">
        <f aca="false">C20/12</f>
        <v>83.128078817734</v>
      </c>
      <c r="D21" s="46" t="n">
        <f aca="false">D20/12</f>
        <v>84.375</v>
      </c>
      <c r="E21" s="46" t="n">
        <f aca="false">E20/12</f>
        <v>85.640625</v>
      </c>
      <c r="F21" s="46" t="n">
        <f aca="false">F20/12</f>
        <v>86.925234375</v>
      </c>
      <c r="G21" s="46" t="n">
        <f aca="false">G20/12</f>
        <v>88.229112890625</v>
      </c>
      <c r="H21" s="46" t="n">
        <f aca="false">H20/12</f>
        <v>89.5525495839843</v>
      </c>
      <c r="I21" s="46" t="n">
        <f aca="false">I20/12</f>
        <v>90.8958378277441</v>
      </c>
      <c r="J21" s="46" t="n">
        <f aca="false">J20/12</f>
        <v>92.2592753951603</v>
      </c>
    </row>
    <row r="22" customFormat="false" ht="15" hidden="false" customHeight="true" outlineLevel="0" collapsed="false">
      <c r="A22" s="25" t="s">
        <v>494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customFormat="false" ht="15" hidden="false" customHeight="false" outlineLevel="0" collapsed="false">
      <c r="A23" s="8" t="s">
        <v>495</v>
      </c>
      <c r="B23" s="46" t="n">
        <f aca="false">B21*Assumptions!$B$35</f>
        <v>57.3297095294717</v>
      </c>
      <c r="C23" s="46" t="n">
        <f aca="false">C21*Assumptions!$B$35</f>
        <v>58.1896551724138</v>
      </c>
      <c r="D23" s="46" t="n">
        <f aca="false">D21*Assumptions!$B$35</f>
        <v>59.0625</v>
      </c>
      <c r="E23" s="46" t="n">
        <f aca="false">E21*Assumptions!$B$35</f>
        <v>59.9484375</v>
      </c>
      <c r="F23" s="46" t="n">
        <f aca="false">F21*Assumptions!$B$35</f>
        <v>60.8476640625</v>
      </c>
      <c r="G23" s="46" t="n">
        <f aca="false">G21*Assumptions!$B$35</f>
        <v>61.7603790234375</v>
      </c>
      <c r="H23" s="46" t="n">
        <f aca="false">H21*Assumptions!$B$35</f>
        <v>62.686784708789</v>
      </c>
      <c r="I23" s="46" t="n">
        <f aca="false">I21*Assumptions!$B$35</f>
        <v>63.6270864794208</v>
      </c>
      <c r="J23" s="46" t="n">
        <f aca="false">J21*Assumptions!$B$35</f>
        <v>64.5814927766122</v>
      </c>
    </row>
    <row r="24" customFormat="false" ht="15" hidden="false" customHeight="false" outlineLevel="0" collapsed="false">
      <c r="A24" s="8" t="s">
        <v>496</v>
      </c>
      <c r="B24" s="46" t="n">
        <f aca="false">B21*Assumptions!$B$36</f>
        <v>11.4659419058943</v>
      </c>
      <c r="C24" s="46" t="n">
        <f aca="false">C21*Assumptions!$B$36</f>
        <v>11.6379310344828</v>
      </c>
      <c r="D24" s="46" t="n">
        <f aca="false">D21*Assumptions!$B$36</f>
        <v>11.8125</v>
      </c>
      <c r="E24" s="46" t="n">
        <f aca="false">E21*Assumptions!$B$36</f>
        <v>11.9896875</v>
      </c>
      <c r="F24" s="46" t="n">
        <f aca="false">F21*Assumptions!$B$36</f>
        <v>12.1695328125</v>
      </c>
      <c r="G24" s="46" t="n">
        <f aca="false">G21*Assumptions!$B$36</f>
        <v>12.3520758046875</v>
      </c>
      <c r="H24" s="46" t="n">
        <f aca="false">H21*Assumptions!$B$36</f>
        <v>12.5373569417578</v>
      </c>
      <c r="I24" s="46" t="n">
        <f aca="false">I21*Assumptions!$B$36</f>
        <v>12.7254172958842</v>
      </c>
      <c r="J24" s="46" t="n">
        <f aca="false">J21*Assumptions!$B$36</f>
        <v>12.9162985553224</v>
      </c>
    </row>
    <row r="25" customFormat="false" ht="15" hidden="false" customHeight="false" outlineLevel="0" collapsed="false">
      <c r="A25" s="8" t="s">
        <v>497</v>
      </c>
      <c r="B25" s="46" t="n">
        <f aca="false">B21*Assumptions!$B$37</f>
        <v>7.37096265378922</v>
      </c>
      <c r="C25" s="46" t="n">
        <f aca="false">C21*Assumptions!$B$37</f>
        <v>7.48152709359606</v>
      </c>
      <c r="D25" s="46" t="n">
        <f aca="false">D21*Assumptions!$B$37</f>
        <v>7.59375</v>
      </c>
      <c r="E25" s="46" t="n">
        <f aca="false">E21*Assumptions!$B$37</f>
        <v>7.70765625</v>
      </c>
      <c r="F25" s="46" t="n">
        <f aca="false">F21*Assumptions!$B$37</f>
        <v>7.82327109375</v>
      </c>
      <c r="G25" s="46" t="n">
        <f aca="false">G21*Assumptions!$B$37</f>
        <v>7.94062016015625</v>
      </c>
      <c r="H25" s="46" t="n">
        <f aca="false">H21*Assumptions!$B$37</f>
        <v>8.05972946255859</v>
      </c>
      <c r="I25" s="46" t="n">
        <f aca="false">I21*Assumptions!$B$37</f>
        <v>8.18062540449697</v>
      </c>
      <c r="J25" s="46" t="n">
        <f aca="false">J21*Assumptions!$B$37</f>
        <v>8.30333478556442</v>
      </c>
    </row>
    <row r="26" customFormat="false" ht="15" hidden="false" customHeight="false" outlineLevel="0" collapsed="false">
      <c r="A26" s="8" t="s">
        <v>498</v>
      </c>
      <c r="B26" s="46" t="n">
        <f aca="false">B21*Assumptions!$B$38</f>
        <v>4.09497925210512</v>
      </c>
      <c r="C26" s="46" t="n">
        <f aca="false">C21*Assumptions!$B$38</f>
        <v>4.1564039408867</v>
      </c>
      <c r="D26" s="46" t="n">
        <f aca="false">D21*Assumptions!$B$38</f>
        <v>4.21875</v>
      </c>
      <c r="E26" s="46" t="n">
        <f aca="false">E21*Assumptions!$B$38</f>
        <v>4.28203125</v>
      </c>
      <c r="F26" s="46" t="n">
        <f aca="false">F21*Assumptions!$B$38</f>
        <v>4.34626171875</v>
      </c>
      <c r="G26" s="46" t="n">
        <f aca="false">G21*Assumptions!$B$38</f>
        <v>4.41145564453125</v>
      </c>
      <c r="H26" s="46" t="n">
        <f aca="false">H21*Assumptions!$B$38</f>
        <v>4.47762747919922</v>
      </c>
      <c r="I26" s="46" t="n">
        <f aca="false">I21*Assumptions!$B$38</f>
        <v>4.5447918913872</v>
      </c>
      <c r="J26" s="46" t="n">
        <f aca="false">J21*Assumptions!$B$38</f>
        <v>4.61296376975801</v>
      </c>
    </row>
    <row r="27" customFormat="false" ht="15" hidden="false" customHeight="false" outlineLevel="0" collapsed="false">
      <c r="A27" s="8" t="s">
        <v>499</v>
      </c>
      <c r="B27" s="46" t="n">
        <f aca="false">B21*Assumptions!$B$39</f>
        <v>1.63799170084205</v>
      </c>
      <c r="C27" s="46" t="n">
        <f aca="false">C21*Assumptions!$B$39</f>
        <v>1.66256157635468</v>
      </c>
      <c r="D27" s="46" t="n">
        <f aca="false">D21*Assumptions!$B$39</f>
        <v>1.6875</v>
      </c>
      <c r="E27" s="46" t="n">
        <f aca="false">E21*Assumptions!$B$39</f>
        <v>1.7128125</v>
      </c>
      <c r="F27" s="46" t="n">
        <f aca="false">F21*Assumptions!$B$39</f>
        <v>1.7385046875</v>
      </c>
      <c r="G27" s="46" t="n">
        <f aca="false">G21*Assumptions!$B$39</f>
        <v>1.7645822578125</v>
      </c>
      <c r="H27" s="46" t="n">
        <f aca="false">H21*Assumptions!$B$39</f>
        <v>1.79105099167969</v>
      </c>
      <c r="I27" s="46" t="n">
        <f aca="false">I21*Assumptions!$B$39</f>
        <v>1.81791675655488</v>
      </c>
      <c r="J27" s="46" t="n">
        <f aca="false">J21*Assumptions!$B$39</f>
        <v>1.84518550790321</v>
      </c>
    </row>
    <row r="28" customFormat="false" ht="15" hidden="false" customHeight="true" outlineLevel="0" collapsed="false">
      <c r="A28" s="25" t="s">
        <v>500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customFormat="false" ht="15" hidden="false" customHeight="false" outlineLevel="0" collapsed="false">
      <c r="A29" s="8" t="s">
        <v>501</v>
      </c>
      <c r="B29" s="46" t="n">
        <f aca="false">B23*Assumptions!$B$30</f>
        <v>18.9188041447257</v>
      </c>
      <c r="C29" s="46" t="n">
        <f aca="false">C23*Assumptions!$C$30</f>
        <v>20.948275862069</v>
      </c>
      <c r="D29" s="46" t="n">
        <f aca="false">D23*Assumptions!$D$30</f>
        <v>23.034375</v>
      </c>
      <c r="E29" s="46" t="n">
        <f aca="false">E23*Assumptions!$E$30</f>
        <v>23.979375</v>
      </c>
      <c r="F29" s="46" t="n">
        <f aca="false">F23*Assumptions!$F$30</f>
        <v>20.68820578125</v>
      </c>
      <c r="G29" s="46" t="n">
        <f aca="false">G23*Assumptions!$G$30</f>
        <v>13.5872833851562</v>
      </c>
      <c r="H29" s="46" t="n">
        <f aca="false">H23*Assumptions!$H$30</f>
        <v>7.52241416505468</v>
      </c>
      <c r="I29" s="46" t="n">
        <f aca="false">I23*Assumptions!$I$30</f>
        <v>3.81762518876525</v>
      </c>
      <c r="J29" s="46" t="n">
        <f aca="false">J23*Assumptions!$J$30</f>
        <v>1.29162985553224</v>
      </c>
    </row>
    <row r="30" customFormat="false" ht="15" hidden="false" customHeight="false" outlineLevel="0" collapsed="false">
      <c r="A30" s="8" t="s">
        <v>502</v>
      </c>
      <c r="B30" s="46" t="n">
        <f aca="false">B23*Assumptions!$B$31</f>
        <v>18.9188041447257</v>
      </c>
      <c r="C30" s="46" t="n">
        <f aca="false">C23*Assumptions!$C$31</f>
        <v>16.875</v>
      </c>
      <c r="D30" s="46" t="n">
        <f aca="false">D23*Assumptions!$D$31</f>
        <v>13.584375</v>
      </c>
      <c r="E30" s="46" t="n">
        <f aca="false">E23*Assumptions!$E$31</f>
        <v>11.9896875</v>
      </c>
      <c r="F30" s="46" t="n">
        <f aca="false">F23*Assumptions!$F$31</f>
        <v>15.211916015625</v>
      </c>
      <c r="G30" s="46" t="n">
        <f aca="false">G23*Assumptions!$G$31</f>
        <v>20.3809250777344</v>
      </c>
      <c r="H30" s="46" t="n">
        <f aca="false">H23*Assumptions!$H$31</f>
        <v>25.0747138835156</v>
      </c>
      <c r="I30" s="46" t="n">
        <f aca="false">I23*Assumptions!$I$31</f>
        <v>26.7233763213568</v>
      </c>
      <c r="J30" s="46" t="n">
        <f aca="false">J23*Assumptions!$J$31</f>
        <v>28.4158568217094</v>
      </c>
    </row>
    <row r="31" customFormat="false" ht="15" hidden="false" customHeight="false" outlineLevel="0" collapsed="false">
      <c r="A31" s="8" t="s">
        <v>503</v>
      </c>
      <c r="B31" s="46" t="n">
        <f aca="false">B23*Assumptions!$B$32</f>
        <v>19.4921012400204</v>
      </c>
      <c r="C31" s="46" t="n">
        <f aca="false">C23*Assumptions!$C$32</f>
        <v>20.3663793103448</v>
      </c>
      <c r="D31" s="46" t="n">
        <f aca="false">D23*Assumptions!$D$32</f>
        <v>22.44375</v>
      </c>
      <c r="E31" s="46" t="n">
        <f aca="false">E23*Assumptions!$E$32</f>
        <v>23.979375</v>
      </c>
      <c r="F31" s="46" t="n">
        <f aca="false">F23*Assumptions!$F$32</f>
        <v>24.947542265625</v>
      </c>
      <c r="G31" s="46" t="n">
        <f aca="false">G23*Assumptions!$G$32</f>
        <v>27.7921705605469</v>
      </c>
      <c r="H31" s="46" t="n">
        <f aca="false">H23*Assumptions!$H$32</f>
        <v>30.0896566602187</v>
      </c>
      <c r="I31" s="46" t="n">
        <f aca="false">I23*Assumptions!$I$32</f>
        <v>33.0860849692988</v>
      </c>
      <c r="J31" s="46" t="n">
        <f aca="false">J23*Assumptions!$J$32</f>
        <v>34.8740060993706</v>
      </c>
    </row>
    <row r="32" customFormat="false" ht="15" hidden="false" customHeight="true" outlineLevel="0" collapsed="false">
      <c r="A32" s="25" t="s">
        <v>504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customFormat="false" ht="15" hidden="false" customHeight="false" outlineLevel="0" collapsed="false">
      <c r="A33" s="8" t="s">
        <v>505</v>
      </c>
      <c r="B33" s="49" t="n">
        <f aca="false">Assumptions!$B$30*Assumptions!$B$45+Assumptions!$B$31*Assumptions!$B$44+Assumptions!$B$32*Assumptions!$B$43</f>
        <v>7.048</v>
      </c>
      <c r="C33" s="49" t="n">
        <f aca="false">Assumptions!$C$30*Assumptions!$B$45+Assumptions!$C$31*Assumptions!$B$44+Assumptions!$C$32*Assumptions!$B$43</f>
        <v>7.021</v>
      </c>
      <c r="D33" s="49" t="n">
        <f aca="false">Assumptions!$D$30*Assumptions!$B$45+Assumptions!$D$31*Assumptions!$B$44+Assumptions!$D$32*Assumptions!$B$43</f>
        <v>7.024</v>
      </c>
      <c r="E33" s="49" t="n">
        <f aca="false">Assumptions!$E$30*Assumptions!$B$45+Assumptions!$E$31*Assumptions!$B$44+Assumptions!$E$32*Assumptions!$B$43</f>
        <v>7.04</v>
      </c>
      <c r="F33" s="49" t="n">
        <f aca="false">Assumptions!$F$30*Assumptions!$B$45+Assumptions!$F$31*Assumptions!$B$44+Assumptions!$F$32*Assumptions!$B$43</f>
        <v>7.139</v>
      </c>
      <c r="G33" s="49" t="n">
        <f aca="false">Assumptions!$G$30*Assumptions!$B$45+Assumptions!$G$31*Assumptions!$B$44+Assumptions!$G$32*Assumptions!$B$43</f>
        <v>7.367</v>
      </c>
      <c r="H33" s="49" t="n">
        <f aca="false">Assumptions!$H$30*Assumptions!$B$45+Assumptions!$H$31*Assumptions!$B$44+Assumptions!$H$32*Assumptions!$B$43</f>
        <v>7.552</v>
      </c>
      <c r="I33" s="49" t="n">
        <f aca="false">Assumptions!$I$30*Assumptions!$B$45+Assumptions!$I$31*Assumptions!$B$44+Assumptions!$I$32*Assumptions!$B$43</f>
        <v>7.696</v>
      </c>
      <c r="J33" s="49" t="n">
        <f aca="false">Assumptions!$J$30*Assumptions!$B$45+Assumptions!$J$31*Assumptions!$B$44+Assumptions!$J$32*Assumptions!$B$43</f>
        <v>7.782</v>
      </c>
    </row>
    <row r="34" customFormat="false" ht="15" hidden="false" customHeight="false" outlineLevel="0" collapsed="false">
      <c r="A34" s="8" t="s">
        <v>506</v>
      </c>
      <c r="B34" s="49" t="n">
        <f aca="false">Assumptions!$B$51*(1+Assumptions!$B$54)</f>
        <v>4.6</v>
      </c>
      <c r="C34" s="49" t="n">
        <f aca="false">Assumptions!$B$51*(1+Assumptions!$B$54)</f>
        <v>4.6</v>
      </c>
      <c r="D34" s="49" t="n">
        <f aca="false">Assumptions!$B$51*(1+Assumptions!$B$54)</f>
        <v>4.6</v>
      </c>
      <c r="E34" s="49" t="n">
        <f aca="false">Assumptions!$B$51*(1+Assumptions!$B$54)</f>
        <v>4.6</v>
      </c>
      <c r="F34" s="49" t="n">
        <f aca="false">Assumptions!$B$51*(1+Assumptions!$B$54)</f>
        <v>4.6</v>
      </c>
      <c r="G34" s="49" t="n">
        <f aca="false">Assumptions!$B$51*(1+Assumptions!$B$54)</f>
        <v>4.6</v>
      </c>
      <c r="H34" s="49" t="n">
        <f aca="false">Assumptions!$B$51*(1+Assumptions!$B$54)</f>
        <v>4.6</v>
      </c>
      <c r="I34" s="49" t="n">
        <f aca="false">Assumptions!$B$51*(1+Assumptions!$B$54)</f>
        <v>4.6</v>
      </c>
      <c r="J34" s="49" t="n">
        <f aca="false">Assumptions!$B$51*(1+Assumptions!$B$54)</f>
        <v>4.6</v>
      </c>
    </row>
    <row r="35" customFormat="false" ht="15" hidden="false" customHeight="false" outlineLevel="0" collapsed="false">
      <c r="A35" s="8" t="s">
        <v>507</v>
      </c>
      <c r="B35" s="49" t="n">
        <f aca="false">Assumptions!$B$52*(1+Assumptions!$B$147)</f>
        <v>3.22</v>
      </c>
      <c r="C35" s="49" t="n">
        <f aca="false">Assumptions!$B$52*(1+Assumptions!$B$147)</f>
        <v>3.22</v>
      </c>
      <c r="D35" s="49" t="n">
        <f aca="false">Assumptions!$B$52*(1+Assumptions!$B$147)</f>
        <v>3.22</v>
      </c>
      <c r="E35" s="49" t="n">
        <f aca="false">Assumptions!$B$52*(1+Assumptions!$B$147)</f>
        <v>3.22</v>
      </c>
      <c r="F35" s="49" t="n">
        <f aca="false">Assumptions!$B$52*(1+Assumptions!$B$147)</f>
        <v>3.22</v>
      </c>
      <c r="G35" s="49" t="n">
        <f aca="false">Assumptions!$B$52*(1+Assumptions!$B$147)</f>
        <v>3.22</v>
      </c>
      <c r="H35" s="49" t="n">
        <f aca="false">Assumptions!$B$52*(1+Assumptions!$B$147)</f>
        <v>3.22</v>
      </c>
      <c r="I35" s="49" t="n">
        <f aca="false">Assumptions!$B$52*(1+Assumptions!$B$147)</f>
        <v>3.22</v>
      </c>
      <c r="J35" s="49" t="n">
        <f aca="false">Assumptions!$B$52*(1+Assumptions!$B$147)</f>
        <v>3.22</v>
      </c>
    </row>
    <row r="36" customFormat="false" ht="15" hidden="false" customHeight="false" outlineLevel="0" collapsed="false">
      <c r="A36" s="8" t="s">
        <v>508</v>
      </c>
      <c r="B36" s="49" t="n">
        <f aca="false">Assumptions!$B$52</f>
        <v>2.8</v>
      </c>
      <c r="C36" s="49" t="n">
        <f aca="false">Assumptions!$B$52</f>
        <v>2.8</v>
      </c>
      <c r="D36" s="49" t="n">
        <f aca="false">Assumptions!$B$52</f>
        <v>2.8</v>
      </c>
      <c r="E36" s="49" t="n">
        <f aca="false">Assumptions!$B$52</f>
        <v>2.8</v>
      </c>
      <c r="F36" s="49" t="n">
        <f aca="false">Assumptions!$B$52</f>
        <v>2.8</v>
      </c>
      <c r="G36" s="49" t="n">
        <f aca="false">Assumptions!$B$52</f>
        <v>2.8</v>
      </c>
      <c r="H36" s="49" t="n">
        <f aca="false">Assumptions!$B$52</f>
        <v>2.8</v>
      </c>
      <c r="I36" s="49" t="n">
        <f aca="false">Assumptions!$B$52</f>
        <v>2.8</v>
      </c>
      <c r="J36" s="49" t="n">
        <f aca="false">Assumptions!$B$52</f>
        <v>2.8</v>
      </c>
    </row>
    <row r="37" customFormat="false" ht="15" hidden="false" customHeight="false" outlineLevel="0" collapsed="false">
      <c r="A37" s="8" t="s">
        <v>509</v>
      </c>
      <c r="B37" s="49" t="n">
        <f aca="false">Assumptions!$B$53</f>
        <v>13</v>
      </c>
      <c r="C37" s="49" t="n">
        <f aca="false">Assumptions!$B$53</f>
        <v>13</v>
      </c>
      <c r="D37" s="49" t="n">
        <f aca="false">Assumptions!$B$53</f>
        <v>13</v>
      </c>
      <c r="E37" s="49" t="n">
        <f aca="false">Assumptions!$B$53</f>
        <v>13</v>
      </c>
      <c r="F37" s="49" t="n">
        <f aca="false">Assumptions!$B$53</f>
        <v>13</v>
      </c>
      <c r="G37" s="49" t="n">
        <f aca="false">Assumptions!$B$53</f>
        <v>13</v>
      </c>
      <c r="H37" s="49" t="n">
        <f aca="false">Assumptions!$B$53</f>
        <v>13</v>
      </c>
      <c r="I37" s="49" t="n">
        <f aca="false">Assumptions!$B$53</f>
        <v>13</v>
      </c>
      <c r="J37" s="49" t="n">
        <f aca="false">Assumptions!$B$53</f>
        <v>13</v>
      </c>
    </row>
    <row r="38" customFormat="false" ht="15" hidden="false" customHeight="true" outlineLevel="0" collapsed="false">
      <c r="A38" s="25" t="s">
        <v>510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customFormat="false" ht="15" hidden="false" customHeight="false" outlineLevel="0" collapsed="false">
      <c r="A39" s="8" t="s">
        <v>511</v>
      </c>
      <c r="B39" s="49" t="n">
        <f aca="false">B23*B33</f>
        <v>404.059792763717</v>
      </c>
      <c r="C39" s="49" t="n">
        <f aca="false">C23*C33</f>
        <v>408.549568965517</v>
      </c>
      <c r="D39" s="49" t="n">
        <f aca="false">D23*D33</f>
        <v>414.855</v>
      </c>
      <c r="E39" s="49" t="n">
        <f aca="false">E23*E33</f>
        <v>422.037</v>
      </c>
      <c r="F39" s="49" t="n">
        <f aca="false">F23*F33</f>
        <v>434.391473742187</v>
      </c>
      <c r="G39" s="49" t="n">
        <f aca="false">G23*G33</f>
        <v>454.988712265664</v>
      </c>
      <c r="H39" s="49" t="n">
        <f aca="false">H23*H33</f>
        <v>473.410598120775</v>
      </c>
      <c r="I39" s="49" t="n">
        <f aca="false">I23*I33</f>
        <v>489.674057545623</v>
      </c>
      <c r="J39" s="49" t="n">
        <f aca="false">J23*J33</f>
        <v>502.573176787596</v>
      </c>
    </row>
    <row r="40" customFormat="false" ht="15" hidden="false" customHeight="false" outlineLevel="0" collapsed="false">
      <c r="A40" s="8" t="s">
        <v>512</v>
      </c>
      <c r="B40" s="49" t="n">
        <f aca="false">B24*B34</f>
        <v>52.743332767114</v>
      </c>
      <c r="C40" s="49" t="n">
        <f aca="false">C24*C34</f>
        <v>53.5344827586207</v>
      </c>
      <c r="D40" s="49" t="n">
        <f aca="false">D24*D34</f>
        <v>54.3375</v>
      </c>
      <c r="E40" s="49" t="n">
        <f aca="false">E24*E34</f>
        <v>55.1525625</v>
      </c>
      <c r="F40" s="49" t="n">
        <f aca="false">F24*F34</f>
        <v>55.9798509375</v>
      </c>
      <c r="G40" s="49" t="n">
        <f aca="false">G24*G34</f>
        <v>56.8195487015625</v>
      </c>
      <c r="H40" s="49" t="n">
        <f aca="false">H24*H34</f>
        <v>57.6718419320859</v>
      </c>
      <c r="I40" s="49" t="n">
        <f aca="false">I24*I34</f>
        <v>58.5369195610672</v>
      </c>
      <c r="J40" s="49" t="n">
        <f aca="false">J24*J34</f>
        <v>59.4149733544832</v>
      </c>
    </row>
    <row r="41" customFormat="false" ht="15" hidden="false" customHeight="false" outlineLevel="0" collapsed="false">
      <c r="A41" s="8" t="s">
        <v>513</v>
      </c>
      <c r="B41" s="49" t="n">
        <f aca="false">B25*B35</f>
        <v>23.7344997452013</v>
      </c>
      <c r="C41" s="49" t="n">
        <f aca="false">C25*C35</f>
        <v>24.0905172413793</v>
      </c>
      <c r="D41" s="49" t="n">
        <f aca="false">D25*D35</f>
        <v>24.451875</v>
      </c>
      <c r="E41" s="49" t="n">
        <f aca="false">E25*E35</f>
        <v>24.818653125</v>
      </c>
      <c r="F41" s="49" t="n">
        <f aca="false">F25*F35</f>
        <v>25.190932921875</v>
      </c>
      <c r="G41" s="49" t="n">
        <f aca="false">G25*G35</f>
        <v>25.5687969157031</v>
      </c>
      <c r="H41" s="49" t="n">
        <f aca="false">H25*H35</f>
        <v>25.9523288694387</v>
      </c>
      <c r="I41" s="49" t="n">
        <f aca="false">I25*I35</f>
        <v>26.3416138024802</v>
      </c>
      <c r="J41" s="49" t="n">
        <f aca="false">J25*J35</f>
        <v>26.7367380095174</v>
      </c>
    </row>
    <row r="42" customFormat="false" ht="15" hidden="false" customHeight="false" outlineLevel="0" collapsed="false">
      <c r="A42" s="8" t="s">
        <v>514</v>
      </c>
      <c r="B42" s="49" t="n">
        <f aca="false">B26*B36</f>
        <v>11.4659419058943</v>
      </c>
      <c r="C42" s="49" t="n">
        <f aca="false">C26*C36</f>
        <v>11.6379310344828</v>
      </c>
      <c r="D42" s="49" t="n">
        <f aca="false">D26*D36</f>
        <v>11.8125</v>
      </c>
      <c r="E42" s="49" t="n">
        <f aca="false">E26*E36</f>
        <v>11.9896875</v>
      </c>
      <c r="F42" s="49" t="n">
        <f aca="false">F26*F36</f>
        <v>12.1695328125</v>
      </c>
      <c r="G42" s="49" t="n">
        <f aca="false">G26*G36</f>
        <v>12.3520758046875</v>
      </c>
      <c r="H42" s="49" t="n">
        <f aca="false">H26*H36</f>
        <v>12.5373569417578</v>
      </c>
      <c r="I42" s="49" t="n">
        <f aca="false">I26*I36</f>
        <v>12.7254172958842</v>
      </c>
      <c r="J42" s="49" t="n">
        <f aca="false">J26*J36</f>
        <v>12.9162985553224</v>
      </c>
    </row>
    <row r="43" customFormat="false" ht="15" hidden="false" customHeight="false" outlineLevel="0" collapsed="false">
      <c r="A43" s="8" t="s">
        <v>515</v>
      </c>
      <c r="B43" s="49" t="n">
        <f aca="false">B27*B37</f>
        <v>21.2938921109466</v>
      </c>
      <c r="C43" s="49" t="n">
        <f aca="false">C27*C37</f>
        <v>21.6133004926108</v>
      </c>
      <c r="D43" s="49" t="n">
        <f aca="false">D27*D37</f>
        <v>21.9375</v>
      </c>
      <c r="E43" s="49" t="n">
        <f aca="false">E27*E37</f>
        <v>22.2665625</v>
      </c>
      <c r="F43" s="49" t="n">
        <f aca="false">F27*F37</f>
        <v>22.6005609375</v>
      </c>
      <c r="G43" s="49" t="n">
        <f aca="false">G27*G37</f>
        <v>22.9395693515625</v>
      </c>
      <c r="H43" s="49" t="n">
        <f aca="false">H27*H37</f>
        <v>23.2836628918359</v>
      </c>
      <c r="I43" s="49" t="n">
        <f aca="false">I27*I37</f>
        <v>23.6329178352135</v>
      </c>
      <c r="J43" s="49" t="n">
        <f aca="false">J27*J37</f>
        <v>23.9874116027417</v>
      </c>
    </row>
    <row r="44" customFormat="false" ht="15" hidden="false" customHeight="false" outlineLevel="0" collapsed="false">
      <c r="A44" s="17" t="s">
        <v>516</v>
      </c>
      <c r="B44" s="48" t="n">
        <f aca="false">B39+B40+B41+B42+B43</f>
        <v>513.297459292873</v>
      </c>
      <c r="C44" s="48" t="n">
        <f aca="false">C39+C40+C41+C42+C43</f>
        <v>519.425800492611</v>
      </c>
      <c r="D44" s="48" t="n">
        <f aca="false">D39+D40+D41+D42+D43</f>
        <v>527.394375</v>
      </c>
      <c r="E44" s="48" t="n">
        <f aca="false">E39+E40+E41+E42+E43</f>
        <v>536.264465625</v>
      </c>
      <c r="F44" s="48" t="n">
        <f aca="false">F39+F40+F41+F42+F43</f>
        <v>550.332351351562</v>
      </c>
      <c r="G44" s="48" t="n">
        <f aca="false">G39+G40+G41+G42+G43</f>
        <v>572.668703039179</v>
      </c>
      <c r="H44" s="48" t="n">
        <f aca="false">H39+H40+H41+H42+H43</f>
        <v>592.855788755893</v>
      </c>
      <c r="I44" s="48" t="n">
        <f aca="false">I39+I40+I41+I42+I43</f>
        <v>610.910926040268</v>
      </c>
      <c r="J44" s="48" t="n">
        <f aca="false">J39+J40+J41+J42+J43</f>
        <v>625.628598309661</v>
      </c>
    </row>
    <row r="45" customFormat="false" ht="15" hidden="false" customHeight="false" outlineLevel="0" collapsed="false">
      <c r="A45" s="17" t="s">
        <v>517</v>
      </c>
      <c r="B45" s="50" t="n">
        <f aca="false">B44*Assumptions!$B$6</f>
        <v>335.696538377539</v>
      </c>
      <c r="C45" s="50" t="n">
        <f aca="false">C44*Assumptions!$C$6</f>
        <v>324.641125307882</v>
      </c>
      <c r="D45" s="50" t="n">
        <f aca="false">D44*Assumptions!$D$6</f>
        <v>317.49141375</v>
      </c>
      <c r="E45" s="50" t="n">
        <f aca="false">E44*Assumptions!$E$6</f>
        <v>313.714712390625</v>
      </c>
      <c r="F45" s="50" t="n">
        <f aca="false">F44*Assumptions!$F$6</f>
        <v>327.44774905418</v>
      </c>
      <c r="G45" s="50" t="n">
        <f aca="false">G44*Assumptions!$G$6</f>
        <v>349.327908853899</v>
      </c>
      <c r="H45" s="50" t="n">
        <f aca="false">H44*Assumptions!$H$6</f>
        <v>367.570589028654</v>
      </c>
      <c r="I45" s="50" t="n">
        <f aca="false">I44*Assumptions!$I$6</f>
        <v>381.819328775167</v>
      </c>
      <c r="J45" s="50" t="n">
        <f aca="false">J44*Assumptions!$J$6</f>
        <v>391.017873943538</v>
      </c>
    </row>
    <row r="46" customFormat="false" ht="15" hidden="false" customHeight="true" outlineLevel="0" collapsed="false">
      <c r="A46" s="25" t="s">
        <v>518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customFormat="false" ht="15" hidden="false" customHeight="false" outlineLevel="0" collapsed="false">
      <c r="A47" s="8" t="s">
        <v>519</v>
      </c>
      <c r="B47" s="49" t="n">
        <f aca="false">Assumptions!$B$30*Assumptions!$B$49+Assumptions!$B$31*Assumptions!$B$48+Assumptions!$B$32*Assumptions!$B$48*(1+Assumptions!$B$59)</f>
        <v>4.596</v>
      </c>
      <c r="C47" s="49" t="n">
        <f aca="false">Assumptions!$C$30*Assumptions!$B$49+Assumptions!$C$31*Assumptions!$B$48+Assumptions!$C$32*Assumptions!$B$48*(1+Assumptions!$C$59)</f>
        <v>4.49775</v>
      </c>
      <c r="D47" s="49" t="n">
        <f aca="false">Assumptions!$D$30*Assumptions!$B$49+Assumptions!$D$31*Assumptions!$B$48+Assumptions!$D$32*Assumptions!$B$48*(1+Assumptions!$D$59)</f>
        <v>4.413</v>
      </c>
      <c r="E47" s="49" t="n">
        <f aca="false">Assumptions!$E$30*Assumptions!$B$49+Assumptions!$E$31*Assumptions!$B$48+Assumptions!$E$32*Assumptions!$B$48*(1+Assumptions!$E$59)</f>
        <v>4.402</v>
      </c>
      <c r="F47" s="49" t="n">
        <f aca="false">Assumptions!$F$30*Assumptions!$B$49+Assumptions!$F$31*Assumptions!$B$48+Assumptions!$F$32*Assumptions!$B$48*(1+Assumptions!$F$59)</f>
        <v>4.4581</v>
      </c>
      <c r="G47" s="49" t="n">
        <f aca="false">Assumptions!$G$30*Assumptions!$B$49+Assumptions!$G$31*Assumptions!$B$48+Assumptions!$G$32*Assumptions!$B$48*(1+Assumptions!$G$59)</f>
        <v>4.5415</v>
      </c>
      <c r="H47" s="49" t="n">
        <f aca="false">Assumptions!$H$30*Assumptions!$B$49+Assumptions!$H$31*Assumptions!$B$48+Assumptions!$H$32*Assumptions!$B$48*(1+Assumptions!$H$59)</f>
        <v>4.6272</v>
      </c>
      <c r="I47" s="49" t="n">
        <f aca="false">Assumptions!$I$30*Assumptions!$B$49+Assumptions!$I$31*Assumptions!$B$48+Assumptions!$I$32*Assumptions!$B$48*(1+Assumptions!$I$59)</f>
        <v>4.6914</v>
      </c>
      <c r="J47" s="49" t="n">
        <f aca="false">Assumptions!$J$30*Assumptions!$B$49+Assumptions!$J$31*Assumptions!$B$48+Assumptions!$J$32*Assumptions!$B$48*(1+Assumptions!$J$59)</f>
        <v>4.721</v>
      </c>
    </row>
    <row r="48" customFormat="false" ht="15" hidden="false" customHeight="false" outlineLevel="0" collapsed="false">
      <c r="A48" s="8" t="s">
        <v>520</v>
      </c>
      <c r="B48" s="49" t="n">
        <f aca="false">B23*B47+B24*Assumptions!$B$51+B25*Assumptions!$B$52+B26*Assumptions!$B$52+B27*Assumptions!$B$53</f>
        <v>362.74964206848</v>
      </c>
      <c r="C48" s="49" t="n">
        <f aca="false">C23*C47+C24*Assumptions!$B$51+C25*Assumptions!$B$52+C26*Assumptions!$B$52+C27*Assumptions!$B$53</f>
        <v>362.473753078818</v>
      </c>
      <c r="D48" s="49" t="n">
        <f aca="false">D23*D47+D24*Assumptions!$B$51+D25*Assumptions!$B$52+D26*Assumptions!$B$52+D27*Assumptions!$B$53</f>
        <v>362.9053125</v>
      </c>
      <c r="E48" s="49" t="n">
        <f aca="false">E23*E47+E24*Assumptions!$B$51+E25*Assumptions!$B$52+E26*Assumptions!$B$52+E27*Assumptions!$B$53</f>
        <v>367.689459375</v>
      </c>
      <c r="F48" s="49" t="n">
        <f aca="false">F23*F47+F24*Assumptions!$B$51+F25*Assumptions!$B$52+F26*Assumptions!$B$52+F27*Assumptions!$B$53</f>
        <v>376.618355219531</v>
      </c>
      <c r="G48" s="49" t="n">
        <f aca="false">G23*G47+G24*Assumptions!$B$51+G25*Assumptions!$B$52+G26*Assumptions!$B$52+G27*Assumptions!$B$53</f>
        <v>387.418446158379</v>
      </c>
      <c r="H48" s="49" t="n">
        <f aca="false">H23*H47+H24*Assumptions!$B$51+H25*Assumptions!$B$52+H26*Assumptions!$B$52+H27*Assumptions!$B$53</f>
        <v>398.601980300298</v>
      </c>
      <c r="I48" s="49" t="n">
        <f aca="false">I23*I47+I24*Assumptions!$B$51+I25*Assumptions!$B$52+I26*Assumptions!$B$52+I27*Assumptions!$B$53</f>
        <v>408.665868956781</v>
      </c>
      <c r="J48" s="49" t="n">
        <f aca="false">J23*J47+J24*Assumptions!$B$51+J25*Assumptions!$B$52+J26*Assumptions!$B$52+J27*Assumptions!$B$53</f>
        <v>416.70746917732</v>
      </c>
    </row>
    <row r="49" customFormat="false" ht="15" hidden="false" customHeight="false" outlineLevel="0" collapsed="false">
      <c r="A49" s="8" t="s">
        <v>521</v>
      </c>
      <c r="B49" s="49" t="n">
        <f aca="false">B44-B48</f>
        <v>150.547817224393</v>
      </c>
      <c r="C49" s="49" t="n">
        <f aca="false">C44-C48</f>
        <v>156.952047413793</v>
      </c>
      <c r="D49" s="49" t="n">
        <f aca="false">D44-D48</f>
        <v>164.4890625</v>
      </c>
      <c r="E49" s="49" t="n">
        <f aca="false">E44-E48</f>
        <v>168.57500625</v>
      </c>
      <c r="F49" s="49" t="n">
        <f aca="false">F44-F48</f>
        <v>173.713996132031</v>
      </c>
      <c r="G49" s="49" t="n">
        <f aca="false">G44-G48</f>
        <v>185.250256880801</v>
      </c>
      <c r="H49" s="49" t="n">
        <f aca="false">H44-H48</f>
        <v>194.253808455596</v>
      </c>
      <c r="I49" s="49" t="n">
        <f aca="false">I44-I48</f>
        <v>202.245057083487</v>
      </c>
      <c r="J49" s="49" t="n">
        <f aca="false">J44-J48</f>
        <v>208.92112913234</v>
      </c>
    </row>
    <row r="50" customFormat="false" ht="15" hidden="false" customHeight="false" outlineLevel="0" collapsed="false">
      <c r="A50" s="8" t="s">
        <v>522</v>
      </c>
      <c r="B50" s="52" t="n">
        <f aca="false">B48*Assumptions!$B$6</f>
        <v>237.238265912786</v>
      </c>
      <c r="C50" s="52" t="n">
        <f aca="false">C48*Assumptions!$C$6</f>
        <v>226.546095674261</v>
      </c>
      <c r="D50" s="52" t="n">
        <f aca="false">D48*Assumptions!$D$6</f>
        <v>218.468998125</v>
      </c>
      <c r="E50" s="52" t="n">
        <f aca="false">E48*Assumptions!$E$6</f>
        <v>215.098333734375</v>
      </c>
      <c r="F50" s="52" t="n">
        <f aca="false">F48*Assumptions!$F$6</f>
        <v>224.087921355621</v>
      </c>
      <c r="G50" s="52" t="n">
        <f aca="false">G48*Assumptions!$G$6</f>
        <v>236.325252156611</v>
      </c>
      <c r="H50" s="52" t="n">
        <f aca="false">H48*Assumptions!$H$6</f>
        <v>247.133227786185</v>
      </c>
      <c r="I50" s="52" t="n">
        <f aca="false">I48*Assumptions!$I$6</f>
        <v>255.416168097988</v>
      </c>
      <c r="J50" s="52" t="n">
        <f aca="false">J48*Assumptions!$J$6</f>
        <v>260.442168235825</v>
      </c>
    </row>
    <row r="51" customFormat="false" ht="15" hidden="false" customHeight="true" outlineLevel="0" collapsed="false">
      <c r="A51" s="25" t="s">
        <v>523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3" customFormat="false" ht="15" hidden="false" customHeight="false" outlineLevel="0" collapsed="false">
      <c r="A53" s="6" t="s">
        <v>524</v>
      </c>
      <c r="B53" s="6"/>
      <c r="C53" s="6"/>
      <c r="D53" s="6"/>
      <c r="E53" s="6"/>
      <c r="F53" s="6"/>
      <c r="G53" s="6"/>
      <c r="H53" s="6"/>
      <c r="I53" s="6"/>
      <c r="J53" s="6"/>
      <c r="K53" s="6"/>
    </row>
    <row r="54" customFormat="false" ht="22.35" hidden="false" customHeight="false" outlineLevel="0" collapsed="false">
      <c r="A54" s="8" t="s">
        <v>525</v>
      </c>
      <c r="B54" s="43" t="n">
        <f aca="false">Assumptions!$B$159</f>
        <v>25</v>
      </c>
      <c r="K54" s="27" t="s">
        <v>526</v>
      </c>
    </row>
    <row r="55" customFormat="false" ht="22.35" hidden="false" customHeight="false" outlineLevel="0" collapsed="false">
      <c r="A55" s="8" t="s">
        <v>527</v>
      </c>
      <c r="B55" s="43" t="n">
        <f aca="false">B54*4</f>
        <v>100</v>
      </c>
      <c r="K55" s="27" t="s">
        <v>528</v>
      </c>
    </row>
    <row r="56" customFormat="false" ht="15" hidden="false" customHeight="false" outlineLevel="0" collapsed="false">
      <c r="A56" s="8" t="s">
        <v>529</v>
      </c>
      <c r="B56" s="49" t="n">
        <f aca="false">Assumptions!$B$160*Assumptions!$B$164+Assumptions!$B$161*Assumptions!$B$165+Assumptions!$B$162*Assumptions!$B$166+Assumptions!$B$163*Assumptions!$B$167</f>
        <v>9.07443</v>
      </c>
    </row>
    <row r="57" customFormat="false" ht="15" hidden="false" customHeight="false" outlineLevel="0" collapsed="false">
      <c r="A57" s="8" t="s">
        <v>530</v>
      </c>
      <c r="B57" s="38" t="n">
        <f aca="false">B55*B56</f>
        <v>907.443</v>
      </c>
      <c r="K57" s="27" t="s">
        <v>531</v>
      </c>
    </row>
    <row r="58" customFormat="false" ht="15" hidden="false" customHeight="false" outlineLevel="0" collapsed="false">
      <c r="A58" s="8" t="s">
        <v>532</v>
      </c>
      <c r="B58" s="38" t="n">
        <f aca="false">B55*(Assumptions!$B$160*Assumptions!$B$49+Assumptions!$B$161*Assumptions!$B$48+Assumptions!$B$162*Assumptions!$B$47+Assumptions!$B$163*Assumptions!$B$50)</f>
        <v>521.95</v>
      </c>
      <c r="K58" s="27" t="s">
        <v>533</v>
      </c>
    </row>
    <row r="59" customFormat="false" ht="15" hidden="false" customHeight="false" outlineLevel="0" collapsed="false">
      <c r="A59" s="8" t="s">
        <v>534</v>
      </c>
      <c r="B59" s="53" t="n">
        <f aca="false">D12</f>
        <v>459</v>
      </c>
    </row>
    <row r="60" customFormat="false" ht="45.75" hidden="false" customHeight="true" outlineLevel="0" collapsed="false">
      <c r="A60" s="25" t="s">
        <v>535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2" customFormat="false" ht="15" hidden="false" customHeight="false" outlineLevel="0" collapsed="false">
      <c r="A62" s="6" t="s">
        <v>536</v>
      </c>
      <c r="B62" s="6"/>
      <c r="C62" s="6"/>
      <c r="D62" s="6"/>
      <c r="E62" s="6"/>
      <c r="F62" s="6"/>
      <c r="G62" s="6"/>
      <c r="H62" s="6"/>
      <c r="I62" s="6"/>
      <c r="J62" s="6"/>
      <c r="K62" s="6"/>
    </row>
    <row r="63" customFormat="false" ht="15" hidden="false" customHeight="false" outlineLevel="0" collapsed="false">
      <c r="A63" s="7" t="s">
        <v>479</v>
      </c>
      <c r="B63" s="11" t="s">
        <v>82</v>
      </c>
      <c r="C63" s="11" t="s">
        <v>83</v>
      </c>
      <c r="D63" s="11" t="s">
        <v>68</v>
      </c>
      <c r="E63" s="11" t="s">
        <v>84</v>
      </c>
      <c r="F63" s="11" t="s">
        <v>85</v>
      </c>
      <c r="G63" s="11" t="s">
        <v>86</v>
      </c>
      <c r="H63" s="11" t="s">
        <v>87</v>
      </c>
      <c r="I63" s="11" t="s">
        <v>88</v>
      </c>
      <c r="J63" s="11" t="s">
        <v>89</v>
      </c>
      <c r="K63" s="7" t="s">
        <v>92</v>
      </c>
    </row>
    <row r="64" customFormat="false" ht="15" hidden="false" customHeight="false" outlineLevel="0" collapsed="false">
      <c r="A64" s="8" t="s">
        <v>537</v>
      </c>
      <c r="B64" s="49" t="n">
        <f aca="false">B12</f>
        <v>431.558154728524</v>
      </c>
      <c r="C64" s="49" t="n">
        <f aca="false">C12</f>
        <v>445.067627468448</v>
      </c>
      <c r="D64" s="49" t="n">
        <f aca="false">D12</f>
        <v>459</v>
      </c>
      <c r="E64" s="49" t="n">
        <f aca="false">E12</f>
        <v>473.368510755</v>
      </c>
      <c r="F64" s="49" t="n">
        <f aca="false">F12</f>
        <v>488.186812580406</v>
      </c>
      <c r="G64" s="49" t="n">
        <f aca="false">G12</f>
        <v>503.468985711148</v>
      </c>
      <c r="H64" s="49" t="n">
        <f aca="false">H12</f>
        <v>519.229551149056</v>
      </c>
      <c r="I64" s="49" t="n">
        <f aca="false">I12</f>
        <v>535.4834844606</v>
      </c>
      <c r="J64" s="49" t="n">
        <f aca="false">J12</f>
        <v>552.246230006563</v>
      </c>
    </row>
    <row r="65" customFormat="false" ht="15" hidden="false" customHeight="false" outlineLevel="0" collapsed="false">
      <c r="A65" s="8" t="s">
        <v>538</v>
      </c>
      <c r="B65" s="49" t="n">
        <f aca="false">B44</f>
        <v>513.297459292873</v>
      </c>
      <c r="C65" s="49" t="n">
        <f aca="false">C44</f>
        <v>519.425800492611</v>
      </c>
      <c r="D65" s="49" t="n">
        <f aca="false">D44</f>
        <v>527.394375</v>
      </c>
      <c r="E65" s="49" t="n">
        <f aca="false">E44</f>
        <v>536.264465625</v>
      </c>
      <c r="F65" s="49" t="n">
        <f aca="false">F44</f>
        <v>550.332351351562</v>
      </c>
      <c r="G65" s="49" t="n">
        <f aca="false">G44</f>
        <v>572.668703039179</v>
      </c>
      <c r="H65" s="49" t="n">
        <f aca="false">H44</f>
        <v>592.855788755893</v>
      </c>
      <c r="I65" s="49" t="n">
        <f aca="false">I44</f>
        <v>610.910926040268</v>
      </c>
      <c r="J65" s="49" t="n">
        <f aca="false">J44</f>
        <v>625.628598309661</v>
      </c>
    </row>
    <row r="66" customFormat="false" ht="15" hidden="false" customHeight="false" outlineLevel="0" collapsed="false">
      <c r="A66" s="8" t="s">
        <v>539</v>
      </c>
      <c r="B66" s="49" t="n">
        <f aca="false">B65-B64</f>
        <v>81.7393045643486</v>
      </c>
      <c r="C66" s="49" t="n">
        <f aca="false">C65-C64</f>
        <v>74.3581730241633</v>
      </c>
      <c r="D66" s="49" t="n">
        <f aca="false">D65-D64</f>
        <v>68.3943749999999</v>
      </c>
      <c r="E66" s="49" t="n">
        <f aca="false">E65-E64</f>
        <v>62.8959548699999</v>
      </c>
      <c r="F66" s="49" t="n">
        <f aca="false">F65-F64</f>
        <v>62.1455387711563</v>
      </c>
      <c r="G66" s="49" t="n">
        <f aca="false">G65-G64</f>
        <v>69.1997173280311</v>
      </c>
      <c r="H66" s="49" t="n">
        <f aca="false">H65-H64</f>
        <v>73.6262376068374</v>
      </c>
      <c r="I66" s="49" t="n">
        <f aca="false">I65-I64</f>
        <v>75.4274415796676</v>
      </c>
      <c r="J66" s="49" t="n">
        <f aca="false">J65-J64</f>
        <v>73.3823683030977</v>
      </c>
    </row>
    <row r="67" customFormat="false" ht="15" hidden="false" customHeight="false" outlineLevel="0" collapsed="false">
      <c r="A67" s="8" t="s">
        <v>540</v>
      </c>
      <c r="B67" s="49" t="n">
        <f aca="false">B40+B41+B42+B43</f>
        <v>109.237666529156</v>
      </c>
      <c r="C67" s="49" t="n">
        <f aca="false">C40+C41+C42+C43</f>
        <v>110.876231527094</v>
      </c>
      <c r="D67" s="49" t="n">
        <f aca="false">D40+D41+D42+D43</f>
        <v>112.539375</v>
      </c>
      <c r="E67" s="49" t="n">
        <f aca="false">E40+E41+E42+E43</f>
        <v>114.227465625</v>
      </c>
      <c r="F67" s="49" t="n">
        <f aca="false">F40+F41+F42+F43</f>
        <v>115.940877609375</v>
      </c>
      <c r="G67" s="49" t="n">
        <f aca="false">G40+G41+G42+G43</f>
        <v>117.679990773516</v>
      </c>
      <c r="H67" s="49" t="n">
        <f aca="false">H40+H41+H42+H43</f>
        <v>119.445190635118</v>
      </c>
      <c r="I67" s="49" t="n">
        <f aca="false">I40+I41+I42+I43</f>
        <v>121.236868494645</v>
      </c>
      <c r="J67" s="49" t="n">
        <f aca="false">J40+J41+J42+J43</f>
        <v>123.055421522065</v>
      </c>
    </row>
    <row r="68" customFormat="false" ht="15" hidden="false" customHeight="false" outlineLevel="0" collapsed="false">
      <c r="A68" s="8" t="s">
        <v>541</v>
      </c>
      <c r="B68" s="35" t="n">
        <f aca="false">IFERROR(Assumptions!$B$116/B21,"")</f>
        <v>0.144078874074074</v>
      </c>
      <c r="C68" s="35" t="n">
        <f aca="false">IFERROR(Assumptions!$C$116/C21,"")</f>
        <v>0.149167407407407</v>
      </c>
      <c r="D68" s="35" t="n">
        <f aca="false">IFERROR(Assumptions!$D$116/D21,"")</f>
        <v>0.155259259259259</v>
      </c>
      <c r="E68" s="35"/>
      <c r="F68" s="35"/>
      <c r="G68" s="35"/>
      <c r="H68" s="35"/>
      <c r="I68" s="35"/>
      <c r="J68" s="35"/>
    </row>
    <row r="69" customFormat="false" ht="15" hidden="false" customHeight="false" outlineLevel="0" collapsed="false">
      <c r="A69" s="8" t="s">
        <v>542</v>
      </c>
      <c r="B69" s="35" t="n">
        <f aca="false">IFERROR(Assumptions!$B$114/B48,"")</f>
        <v>0.210889250127939</v>
      </c>
      <c r="C69" s="35" t="n">
        <f aca="false">IFERROR(Assumptions!$C$114/C48,"")</f>
        <v>0.220981517474405</v>
      </c>
      <c r="D69" s="35" t="n">
        <f aca="false">IFERROR(Assumptions!$D$114/D48,"")</f>
        <v>0.233118659567707</v>
      </c>
      <c r="E69" s="35" t="n">
        <f aca="false">IFERROR(Assumptions!$E$114/E48,"")</f>
        <v>0.24613161376405</v>
      </c>
      <c r="F69" s="35" t="n">
        <f aca="false">IFERROR(Assumptions!$F$114/F48,"")</f>
        <v>0.257024116478803</v>
      </c>
      <c r="G69" s="35" t="n">
        <f aca="false">IFERROR(Assumptions!$G$114/G48,"")</f>
        <v>0.267152999621729</v>
      </c>
      <c r="H69" s="35" t="n">
        <f aca="false">IFERROR(Assumptions!$H$114/H48,"")</f>
        <v>0.277720647339988</v>
      </c>
      <c r="I69" s="35" t="n">
        <f aca="false">IFERROR(Assumptions!$I$114/I48,"")</f>
        <v>0.289723240901534</v>
      </c>
      <c r="J69" s="35" t="n">
        <f aca="false">IFERROR(Assumptions!$J$114/J48,"")</f>
        <v>0.304050225569837</v>
      </c>
    </row>
    <row r="70" customFormat="false" ht="60" hidden="false" customHeight="true" outlineLevel="0" collapsed="false">
      <c r="A70" s="25" t="s">
        <v>543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</row>
  </sheetData>
  <mergeCells count="15">
    <mergeCell ref="A1:K1"/>
    <mergeCell ref="A2:K2"/>
    <mergeCell ref="A4:K4"/>
    <mergeCell ref="A15:K15"/>
    <mergeCell ref="A17:K17"/>
    <mergeCell ref="A22:K22"/>
    <mergeCell ref="A28:K28"/>
    <mergeCell ref="A32:K32"/>
    <mergeCell ref="A38:K38"/>
    <mergeCell ref="A46:K46"/>
    <mergeCell ref="A51:K51"/>
    <mergeCell ref="A53:K53"/>
    <mergeCell ref="A60:K60"/>
    <mergeCell ref="A62:K62"/>
    <mergeCell ref="A70:K7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false"/>
  </sheetPr>
  <dimension ref="A1:K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10" min="2" style="0" width="11"/>
    <col collapsed="false" customWidth="true" hidden="false" outlineLevel="0" max="11" min="11" style="0" width="46"/>
  </cols>
  <sheetData>
    <row r="1" customFormat="false" ht="25.5" hidden="false" customHeight="true" outlineLevel="0" collapsed="false">
      <c r="A1" s="9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false" outlineLevel="0" collapsed="false">
      <c r="A2" s="10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customFormat="false" ht="15" hidden="false" customHeight="false" outlineLevel="0" collapsed="false">
      <c r="A4" s="6" t="s">
        <v>546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customFormat="false" ht="15" hidden="false" customHeight="false" outlineLevel="0" collapsed="false">
      <c r="A5" s="7" t="s">
        <v>479</v>
      </c>
      <c r="B5" s="11" t="s">
        <v>82</v>
      </c>
      <c r="C5" s="11" t="s">
        <v>83</v>
      </c>
      <c r="D5" s="11" t="s">
        <v>68</v>
      </c>
      <c r="E5" s="11" t="s">
        <v>84</v>
      </c>
      <c r="F5" s="11" t="s">
        <v>85</v>
      </c>
      <c r="G5" s="11" t="s">
        <v>86</v>
      </c>
      <c r="H5" s="11" t="s">
        <v>87</v>
      </c>
      <c r="I5" s="11" t="s">
        <v>88</v>
      </c>
      <c r="J5" s="11" t="s">
        <v>89</v>
      </c>
      <c r="K5" s="7" t="s">
        <v>92</v>
      </c>
    </row>
    <row r="6" customFormat="false" ht="15" hidden="false" customHeight="false" outlineLevel="0" collapsed="false">
      <c r="A6" s="8" t="s">
        <v>480</v>
      </c>
      <c r="B6" s="44" t="n">
        <f aca="false">Assumptions!$B$11*(1+Assumptions!$B$12)^-2</f>
        <v>5.12729340789191</v>
      </c>
      <c r="C6" s="44" t="n">
        <f aca="false">Assumptions!$B$11*(1+Assumptions!$B$12)^-1</f>
        <v>5.17343904856293</v>
      </c>
      <c r="D6" s="44" t="n">
        <f aca="false">Assumptions!$B$11*(1+Assumptions!$B$12)^0</f>
        <v>5.22</v>
      </c>
      <c r="E6" s="44" t="n">
        <f aca="false">Assumptions!$B$11*(1+Assumptions!$B$12)^1</f>
        <v>5.26698</v>
      </c>
      <c r="F6" s="44" t="n">
        <f aca="false">Assumptions!$B$11*(1+Assumptions!$B$12)^2</f>
        <v>5.31438282</v>
      </c>
      <c r="G6" s="44" t="n">
        <f aca="false">Assumptions!$B$11*(1+Assumptions!$B$12)^3</f>
        <v>5.36221226538</v>
      </c>
      <c r="H6" s="44" t="n">
        <f aca="false">Assumptions!$B$11*(1+Assumptions!$B$12)^4</f>
        <v>5.41047217576842</v>
      </c>
      <c r="I6" s="44" t="n">
        <f aca="false">Assumptions!$B$11*(1+Assumptions!$B$12)^5</f>
        <v>5.45916642535033</v>
      </c>
      <c r="J6" s="44" t="n">
        <f aca="false">Assumptions!$B$11*(1+Assumptions!$B$12)^6</f>
        <v>5.50829892317849</v>
      </c>
    </row>
    <row r="7" customFormat="false" ht="15" hidden="false" customHeight="false" outlineLevel="0" collapsed="false">
      <c r="A7" s="8" t="s">
        <v>547</v>
      </c>
      <c r="B7" s="47" t="n">
        <f aca="false">Assumptions!$B$12</f>
        <v>0.009</v>
      </c>
      <c r="C7" s="47" t="n">
        <f aca="false">Assumptions!$B$12</f>
        <v>0.009</v>
      </c>
      <c r="D7" s="47" t="n">
        <f aca="false">Assumptions!$B$12</f>
        <v>0.009</v>
      </c>
      <c r="E7" s="47" t="n">
        <f aca="false">Assumptions!$B$12</f>
        <v>0.009</v>
      </c>
      <c r="F7" s="47" t="n">
        <f aca="false">Assumptions!$B$12</f>
        <v>0.009</v>
      </c>
      <c r="G7" s="47" t="n">
        <f aca="false">Assumptions!$B$12</f>
        <v>0.009</v>
      </c>
      <c r="H7" s="47" t="n">
        <f aca="false">Assumptions!$B$12</f>
        <v>0.009</v>
      </c>
      <c r="I7" s="47" t="n">
        <f aca="false">Assumptions!$B$12</f>
        <v>0.009</v>
      </c>
      <c r="J7" s="47" t="n">
        <f aca="false">Assumptions!$B$12</f>
        <v>0.009</v>
      </c>
    </row>
    <row r="8" customFormat="false" ht="15" hidden="false" customHeight="false" outlineLevel="0" collapsed="false">
      <c r="A8" s="8" t="s">
        <v>548</v>
      </c>
      <c r="B8" s="45" t="n">
        <f aca="false">Assumptions!$B$16*(1+Assumptions!$B$19)^-2</f>
        <v>225.827351538239</v>
      </c>
      <c r="C8" s="45" t="n">
        <f aca="false">Assumptions!$B$16*(1+Assumptions!$B$19)^-1</f>
        <v>227.408142999007</v>
      </c>
      <c r="D8" s="45" t="n">
        <f aca="false">Assumptions!$B$16*(1+Assumptions!$B$19)^0</f>
        <v>229</v>
      </c>
      <c r="E8" s="45" t="n">
        <f aca="false">Assumptions!$B$16*(1+Assumptions!$B$19)^1</f>
        <v>230.603</v>
      </c>
      <c r="F8" s="45" t="n">
        <f aca="false">Assumptions!$B$16*(1+Assumptions!$B$19)^2</f>
        <v>232.217221</v>
      </c>
      <c r="G8" s="45" t="n">
        <f aca="false">Assumptions!$B$16*(1+Assumptions!$B$19)^3</f>
        <v>233.842741547</v>
      </c>
      <c r="H8" s="45" t="n">
        <f aca="false">Assumptions!$B$16*(1+Assumptions!$B$19)^4</f>
        <v>235.479640737829</v>
      </c>
      <c r="I8" s="45" t="n">
        <f aca="false">Assumptions!$B$16*(1+Assumptions!$B$19)^5</f>
        <v>237.127998222994</v>
      </c>
      <c r="J8" s="45" t="n">
        <f aca="false">Assumptions!$B$16*(1+Assumptions!$B$19)^6</f>
        <v>238.787894210555</v>
      </c>
    </row>
    <row r="9" customFormat="false" ht="15" hidden="false" customHeight="false" outlineLevel="0" collapsed="false">
      <c r="A9" s="8" t="s">
        <v>549</v>
      </c>
      <c r="B9" s="54" t="n">
        <f aca="false">Assumptions!$B$17</f>
        <v>0.0045</v>
      </c>
      <c r="C9" s="54" t="n">
        <f aca="false">Assumptions!$B$17</f>
        <v>0.0045</v>
      </c>
      <c r="D9" s="54" t="n">
        <f aca="false">Assumptions!$B$17</f>
        <v>0.0045</v>
      </c>
      <c r="E9" s="54" t="n">
        <f aca="false">Assumptions!$B$17</f>
        <v>0.0045</v>
      </c>
      <c r="F9" s="54" t="n">
        <f aca="false">Assumptions!$B$17</f>
        <v>0.0045</v>
      </c>
      <c r="G9" s="54" t="n">
        <f aca="false">Assumptions!$B$17</f>
        <v>0.0045</v>
      </c>
      <c r="H9" s="54" t="n">
        <f aca="false">Assumptions!$B$17</f>
        <v>0.0045</v>
      </c>
      <c r="I9" s="54" t="n">
        <f aca="false">Assumptions!$B$17</f>
        <v>0.0045</v>
      </c>
      <c r="J9" s="54" t="n">
        <f aca="false">Assumptions!$B$17</f>
        <v>0.0045</v>
      </c>
    </row>
    <row r="10" customFormat="false" ht="15" hidden="false" customHeight="false" outlineLevel="0" collapsed="false">
      <c r="A10" s="8" t="s">
        <v>550</v>
      </c>
      <c r="B10" s="54" t="n">
        <f aca="false">Assumptions!$B$18</f>
        <v>0.0025</v>
      </c>
      <c r="C10" s="54" t="n">
        <f aca="false">Assumptions!$B$18</f>
        <v>0.0025</v>
      </c>
      <c r="D10" s="54" t="n">
        <f aca="false">Assumptions!$B$18</f>
        <v>0.0025</v>
      </c>
      <c r="E10" s="54" t="n">
        <f aca="false">Assumptions!$B$18</f>
        <v>0.0025</v>
      </c>
      <c r="F10" s="54" t="n">
        <f aca="false">Assumptions!$B$18</f>
        <v>0.0025</v>
      </c>
      <c r="G10" s="54" t="n">
        <f aca="false">Assumptions!$B$18</f>
        <v>0.0025</v>
      </c>
      <c r="H10" s="54" t="n">
        <f aca="false">Assumptions!$B$18</f>
        <v>0.0025</v>
      </c>
      <c r="I10" s="54" t="n">
        <f aca="false">Assumptions!$B$18</f>
        <v>0.0025</v>
      </c>
      <c r="J10" s="54" t="n">
        <f aca="false">Assumptions!$B$18</f>
        <v>0.0025</v>
      </c>
    </row>
    <row r="11" customFormat="false" ht="15" hidden="false" customHeight="false" outlineLevel="0" collapsed="false">
      <c r="A11" s="8" t="s">
        <v>551</v>
      </c>
      <c r="B11" s="55" t="n">
        <f aca="false">Assumptions!$B$19</f>
        <v>0.007</v>
      </c>
      <c r="C11" s="55" t="n">
        <f aca="false">Assumptions!$B$19</f>
        <v>0.007</v>
      </c>
      <c r="D11" s="55" t="n">
        <f aca="false">Assumptions!$B$19</f>
        <v>0.007</v>
      </c>
      <c r="E11" s="55" t="n">
        <f aca="false">Assumptions!$B$19</f>
        <v>0.007</v>
      </c>
      <c r="F11" s="55" t="n">
        <f aca="false">Assumptions!$B$19</f>
        <v>0.007</v>
      </c>
      <c r="G11" s="55" t="n">
        <f aca="false">Assumptions!$B$19</f>
        <v>0.007</v>
      </c>
      <c r="H11" s="55" t="n">
        <f aca="false">Assumptions!$B$19</f>
        <v>0.007</v>
      </c>
      <c r="I11" s="55" t="n">
        <f aca="false">Assumptions!$B$19</f>
        <v>0.007</v>
      </c>
      <c r="J11" s="55" t="n">
        <f aca="false">Assumptions!$B$19</f>
        <v>0.007</v>
      </c>
    </row>
    <row r="12" customFormat="false" ht="15" hidden="false" customHeight="false" outlineLevel="0" collapsed="false">
      <c r="A12" s="8" t="s">
        <v>552</v>
      </c>
      <c r="B12" s="32" t="n">
        <f aca="false">Assumptions!$B$20</f>
        <v>0.0175</v>
      </c>
      <c r="C12" s="32" t="n">
        <f aca="false">Assumptions!$B$20</f>
        <v>0.0175</v>
      </c>
      <c r="D12" s="32" t="n">
        <f aca="false">Assumptions!$B$20</f>
        <v>0.0175</v>
      </c>
      <c r="E12" s="32" t="n">
        <f aca="false">Assumptions!$B$20</f>
        <v>0.0175</v>
      </c>
      <c r="F12" s="32" t="n">
        <f aca="false">Assumptions!$B$20</f>
        <v>0.0175</v>
      </c>
      <c r="G12" s="32" t="n">
        <f aca="false">Assumptions!$B$20</f>
        <v>0.0175</v>
      </c>
      <c r="H12" s="32" t="n">
        <f aca="false">Assumptions!$B$20</f>
        <v>0.0175</v>
      </c>
      <c r="I12" s="32" t="n">
        <f aca="false">Assumptions!$B$20</f>
        <v>0.0175</v>
      </c>
      <c r="J12" s="32" t="n">
        <f aca="false">Assumptions!$B$20</f>
        <v>0.0175</v>
      </c>
    </row>
    <row r="13" customFormat="false" ht="15" hidden="false" customHeight="false" outlineLevel="0" collapsed="false">
      <c r="A13" s="8" t="s">
        <v>553</v>
      </c>
      <c r="B13" s="55" t="n">
        <f aca="false">(Assumptions!$B$64*MAX(0,MIN(1,(2022-2025)/3)))</f>
        <v>0</v>
      </c>
      <c r="C13" s="55" t="n">
        <f aca="false">(Assumptions!$B$64*MAX(0,MIN(1,(2023-2025)/3)))</f>
        <v>0</v>
      </c>
      <c r="D13" s="55" t="n">
        <f aca="false">(Assumptions!$B$64*MAX(0,MIN(1,(2024-2025)/3)))</f>
        <v>0</v>
      </c>
      <c r="E13" s="55" t="n">
        <f aca="false">(Assumptions!$B$64*MAX(0,MIN(1,(2025-2025)/3)))</f>
        <v>0</v>
      </c>
      <c r="F13" s="55" t="n">
        <f aca="false">(Assumptions!$B$64*MAX(0,MIN(1,(2026-2025)/3)))</f>
        <v>0.00666666666666667</v>
      </c>
      <c r="G13" s="55" t="n">
        <f aca="false">(Assumptions!$B$64*MAX(0,MIN(1,(2027-2025)/3)))</f>
        <v>0.0133333333333333</v>
      </c>
      <c r="H13" s="55" t="n">
        <f aca="false">(Assumptions!$B$64*MAX(0,MIN(1,(2028-2025)/3)))</f>
        <v>0.02</v>
      </c>
      <c r="I13" s="55" t="n">
        <f aca="false">(Assumptions!$B$64*MAX(0,MIN(1,(2029-2025)/3)))</f>
        <v>0.02</v>
      </c>
      <c r="J13" s="55" t="n">
        <f aca="false">(Assumptions!$B$64*MAX(0,MIN(1,(2030-2025)/3)))</f>
        <v>0.02</v>
      </c>
    </row>
    <row r="14" customFormat="false" ht="15" hidden="false" customHeight="false" outlineLevel="0" collapsed="false">
      <c r="A14" s="8" t="s">
        <v>554</v>
      </c>
      <c r="B14" s="55" t="n">
        <f aca="false">(1+Assumptions!$B$12)*(1+Assumptions!$B$19)-1</f>
        <v>0.0160629999999997</v>
      </c>
      <c r="C14" s="55" t="n">
        <f aca="false">(1+Assumptions!$B$12)*(1+Assumptions!$B$19)-1</f>
        <v>0.0160629999999997</v>
      </c>
      <c r="D14" s="55" t="n">
        <f aca="false">(1+Assumptions!$B$12)*(1+Assumptions!$B$19)-1</f>
        <v>0.0160629999999997</v>
      </c>
      <c r="E14" s="55" t="n">
        <f aca="false">(1+Assumptions!$B$12)*(1+Assumptions!$B$19)-1</f>
        <v>0.0160629999999997</v>
      </c>
      <c r="F14" s="55" t="n">
        <f aca="false">(1+Assumptions!$B$12)*(1+Assumptions!$B$19)-1</f>
        <v>0.0160629999999997</v>
      </c>
      <c r="G14" s="55" t="n">
        <f aca="false">(1+Assumptions!$B$12)*(1+Assumptions!$B$19)-1</f>
        <v>0.0160629999999997</v>
      </c>
      <c r="H14" s="55" t="n">
        <f aca="false">(1+Assumptions!$B$12)*(1+Assumptions!$B$19)-1</f>
        <v>0.0160629999999997</v>
      </c>
      <c r="I14" s="55" t="n">
        <f aca="false">(1+Assumptions!$B$12)*(1+Assumptions!$B$19)-1</f>
        <v>0.0160629999999997</v>
      </c>
      <c r="J14" s="55" t="n">
        <f aca="false">(1+Assumptions!$B$12)*(1+Assumptions!$B$19)-1</f>
        <v>0.0160629999999997</v>
      </c>
    </row>
    <row r="15" customFormat="false" ht="15" hidden="false" customHeight="false" outlineLevel="0" collapsed="false">
      <c r="A15" s="8" t="s">
        <v>555</v>
      </c>
      <c r="B15" s="46" t="n">
        <f aca="false">Assumptions!$B$11*(1+Assumptions!$B$12)^-2*Assumptions!$B$16*(1+Assumptions!$B$19)^-2/12</f>
        <v>96.4902575719752</v>
      </c>
      <c r="C15" s="46" t="n">
        <f aca="false">Assumptions!$B$11*(1+Assumptions!$B$12)^-1*Assumptions!$B$16*(1+Assumptions!$B$19)^-1/12</f>
        <v>98.0401805793539</v>
      </c>
      <c r="D15" s="46" t="n">
        <f aca="false">Assumptions!$B$11*(1+Assumptions!$B$12)^0*Assumptions!$B$16*(1+Assumptions!$B$19)^0/12</f>
        <v>99.615</v>
      </c>
      <c r="E15" s="46" t="n">
        <f aca="false">Assumptions!$B$11*(1+Assumptions!$B$12)^1*Assumptions!$B$16*(1+Assumptions!$B$19)^1/12</f>
        <v>101.215115745</v>
      </c>
      <c r="F15" s="46" t="n">
        <f aca="false">Assumptions!$B$11*(1+Assumptions!$B$12)^2*Assumptions!$B$16*(1+Assumptions!$B$19)^2/12</f>
        <v>102.840934149212</v>
      </c>
      <c r="G15" s="46" t="n">
        <f aca="false">Assumptions!$B$11*(1+Assumptions!$B$12)^3*Assumptions!$B$16*(1+Assumptions!$B$19)^3/12</f>
        <v>104.492868074451</v>
      </c>
      <c r="H15" s="46" t="n">
        <f aca="false">Assumptions!$B$11*(1+Assumptions!$B$12)^4*Assumptions!$B$16*(1+Assumptions!$B$19)^4/12</f>
        <v>106.171337014331</v>
      </c>
      <c r="I15" s="46" t="n">
        <f aca="false">Assumptions!$B$11*(1+Assumptions!$B$12)^5*Assumptions!$B$16*(1+Assumptions!$B$19)^5/12</f>
        <v>107.876767200792</v>
      </c>
      <c r="J15" s="46" t="n">
        <f aca="false">Assumptions!$B$11*(1+Assumptions!$B$12)^6*Assumptions!$B$16*(1+Assumptions!$B$19)^6/12</f>
        <v>109.609591712338</v>
      </c>
    </row>
    <row r="16" customFormat="false" ht="15" hidden="false" customHeight="false" outlineLevel="0" collapsed="false">
      <c r="A16" s="8" t="s">
        <v>556</v>
      </c>
      <c r="B16" s="46" t="n">
        <f aca="false">B15*(1-(Assumptions!$B$64*MAX(0,MIN(1,(2022-2025)/3))))</f>
        <v>96.4902575719752</v>
      </c>
      <c r="C16" s="46" t="n">
        <f aca="false">C15*(1-(Assumptions!$B$64*MAX(0,MIN(1,(2023-2025)/3))))</f>
        <v>98.0401805793539</v>
      </c>
      <c r="D16" s="46" t="n">
        <f aca="false">D15*(1-(Assumptions!$B$64*MAX(0,MIN(1,(2024-2025)/3))))</f>
        <v>99.615</v>
      </c>
      <c r="E16" s="46" t="n">
        <f aca="false">E15*(1-(Assumptions!$B$64*MAX(0,MIN(1,(2025-2025)/3))))</f>
        <v>101.215115745</v>
      </c>
      <c r="F16" s="46" t="n">
        <f aca="false">F15*(1-(Assumptions!$B$64*MAX(0,MIN(1,(2026-2025)/3))))</f>
        <v>102.15532792155</v>
      </c>
      <c r="G16" s="46" t="n">
        <f aca="false">G15*(1-(Assumptions!$B$64*MAX(0,MIN(1,(2027-2025)/3))))</f>
        <v>103.099629833458</v>
      </c>
      <c r="H16" s="46" t="n">
        <f aca="false">H15*(1-(Assumptions!$B$64*MAX(0,MIN(1,(2028-2025)/3))))</f>
        <v>104.047910274044</v>
      </c>
      <c r="I16" s="46" t="n">
        <f aca="false">I15*(1-(Assumptions!$B$64*MAX(0,MIN(1,(2029-2025)/3))))</f>
        <v>105.719231856776</v>
      </c>
      <c r="J16" s="46" t="n">
        <f aca="false">J15*(1-(Assumptions!$B$64*MAX(0,MIN(1,(2030-2025)/3))))</f>
        <v>107.417399878091</v>
      </c>
    </row>
    <row r="17" customFormat="false" ht="45.75" hidden="false" customHeight="true" outlineLevel="0" collapsed="false">
      <c r="A17" s="25" t="s">
        <v>557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30" hidden="false" customHeight="true" outlineLevel="0" collapsed="false">
      <c r="A18" s="25" t="s">
        <v>558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20" customFormat="false" ht="15" hidden="false" customHeight="false" outlineLevel="0" collapsed="false">
      <c r="A20" s="6" t="s">
        <v>559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customFormat="false" ht="15" hidden="false" customHeight="false" outlineLevel="0" collapsed="false">
      <c r="A21" s="7" t="s">
        <v>479</v>
      </c>
      <c r="B21" s="11" t="s">
        <v>82</v>
      </c>
      <c r="C21" s="11" t="s">
        <v>83</v>
      </c>
      <c r="D21" s="11" t="s">
        <v>68</v>
      </c>
      <c r="E21" s="11" t="s">
        <v>84</v>
      </c>
      <c r="F21" s="11" t="s">
        <v>85</v>
      </c>
      <c r="G21" s="11" t="s">
        <v>86</v>
      </c>
      <c r="H21" s="11" t="s">
        <v>87</v>
      </c>
      <c r="I21" s="11" t="s">
        <v>88</v>
      </c>
      <c r="J21" s="11" t="s">
        <v>89</v>
      </c>
      <c r="K21" s="7" t="s">
        <v>92</v>
      </c>
    </row>
    <row r="22" customFormat="false" ht="15" hidden="false" customHeight="false" outlineLevel="0" collapsed="false">
      <c r="A22" s="8" t="s">
        <v>560</v>
      </c>
      <c r="B22" s="45" t="n">
        <f aca="false">Market_Sizing!$B$21</f>
        <v>81.8995850421025</v>
      </c>
      <c r="C22" s="45" t="n">
        <f aca="false">Market_Sizing!$C$21</f>
        <v>83.128078817734</v>
      </c>
      <c r="D22" s="45" t="n">
        <f aca="false">Market_Sizing!$D$21</f>
        <v>84.375</v>
      </c>
      <c r="E22" s="45" t="n">
        <f aca="false">Market_Sizing!$E$21</f>
        <v>85.640625</v>
      </c>
      <c r="F22" s="45" t="n">
        <f aca="false">Market_Sizing!$F$21</f>
        <v>86.925234375</v>
      </c>
      <c r="G22" s="45" t="n">
        <f aca="false">Market_Sizing!$G$21</f>
        <v>88.229112890625</v>
      </c>
      <c r="H22" s="45" t="n">
        <f aca="false">Market_Sizing!$H$21</f>
        <v>89.5525495839843</v>
      </c>
      <c r="I22" s="45" t="n">
        <f aca="false">Market_Sizing!$I$21</f>
        <v>90.8958378277441</v>
      </c>
      <c r="J22" s="45" t="n">
        <f aca="false">Market_Sizing!$J$21</f>
        <v>92.2592753951603</v>
      </c>
    </row>
    <row r="23" customFormat="false" ht="15" hidden="false" customHeight="false" outlineLevel="0" collapsed="false">
      <c r="A23" s="8" t="s">
        <v>561</v>
      </c>
      <c r="B23" s="45" t="n">
        <f aca="false">Market_Sizing!$B$29</f>
        <v>18.9188041447257</v>
      </c>
      <c r="C23" s="45" t="n">
        <f aca="false">Market_Sizing!$C$29</f>
        <v>20.948275862069</v>
      </c>
      <c r="D23" s="45" t="n">
        <f aca="false">Market_Sizing!$D$29</f>
        <v>23.034375</v>
      </c>
      <c r="E23" s="45" t="n">
        <f aca="false">Market_Sizing!$E$29</f>
        <v>23.979375</v>
      </c>
      <c r="F23" s="45" t="n">
        <f aca="false">Market_Sizing!$F$29</f>
        <v>20.68820578125</v>
      </c>
      <c r="G23" s="45" t="n">
        <f aca="false">Market_Sizing!$G$29</f>
        <v>13.5872833851562</v>
      </c>
      <c r="H23" s="45" t="n">
        <f aca="false">Market_Sizing!$H$29</f>
        <v>7.52241416505468</v>
      </c>
      <c r="I23" s="45" t="n">
        <f aca="false">Market_Sizing!$I$29</f>
        <v>3.81762518876525</v>
      </c>
      <c r="J23" s="45" t="n">
        <f aca="false">Market_Sizing!$J$29</f>
        <v>1.29162985553224</v>
      </c>
    </row>
    <row r="24" customFormat="false" ht="15" hidden="false" customHeight="false" outlineLevel="0" collapsed="false">
      <c r="A24" s="8" t="s">
        <v>562</v>
      </c>
      <c r="B24" s="45" t="n">
        <f aca="false">Market_Sizing!$B$30</f>
        <v>18.9188041447257</v>
      </c>
      <c r="C24" s="45" t="n">
        <f aca="false">Market_Sizing!$C$30</f>
        <v>16.875</v>
      </c>
      <c r="D24" s="45" t="n">
        <f aca="false">Market_Sizing!$D$30</f>
        <v>13.584375</v>
      </c>
      <c r="E24" s="45" t="n">
        <f aca="false">Market_Sizing!$E$30</f>
        <v>11.9896875</v>
      </c>
      <c r="F24" s="45" t="n">
        <f aca="false">Market_Sizing!$F$30</f>
        <v>15.211916015625</v>
      </c>
      <c r="G24" s="45" t="n">
        <f aca="false">Market_Sizing!$G$30</f>
        <v>20.3809250777344</v>
      </c>
      <c r="H24" s="45" t="n">
        <f aca="false">Market_Sizing!$H$30</f>
        <v>25.0747138835156</v>
      </c>
      <c r="I24" s="45" t="n">
        <f aca="false">Market_Sizing!$I$30</f>
        <v>26.7233763213568</v>
      </c>
      <c r="J24" s="45" t="n">
        <f aca="false">Market_Sizing!$J$30</f>
        <v>28.4158568217094</v>
      </c>
    </row>
    <row r="25" customFormat="false" ht="15" hidden="false" customHeight="false" outlineLevel="0" collapsed="false">
      <c r="A25" s="8" t="s">
        <v>563</v>
      </c>
      <c r="B25" s="45" t="n">
        <f aca="false">Market_Sizing!$B$31</f>
        <v>19.4921012400204</v>
      </c>
      <c r="C25" s="45" t="n">
        <f aca="false">Market_Sizing!$C$31</f>
        <v>20.3663793103448</v>
      </c>
      <c r="D25" s="45" t="n">
        <f aca="false">Market_Sizing!$D$31</f>
        <v>22.44375</v>
      </c>
      <c r="E25" s="45" t="n">
        <f aca="false">Market_Sizing!$E$31</f>
        <v>23.979375</v>
      </c>
      <c r="F25" s="45" t="n">
        <f aca="false">Market_Sizing!$F$31</f>
        <v>24.947542265625</v>
      </c>
      <c r="G25" s="45" t="n">
        <f aca="false">Market_Sizing!$G$31</f>
        <v>27.7921705605469</v>
      </c>
      <c r="H25" s="45" t="n">
        <f aca="false">Market_Sizing!$H$31</f>
        <v>30.0896566602187</v>
      </c>
      <c r="I25" s="45" t="n">
        <f aca="false">Market_Sizing!$I$31</f>
        <v>33.0860849692988</v>
      </c>
      <c r="J25" s="45" t="n">
        <f aca="false">Market_Sizing!$J$31</f>
        <v>34.8740060993706</v>
      </c>
    </row>
    <row r="26" customFormat="false" ht="15" hidden="false" customHeight="false" outlineLevel="0" collapsed="false">
      <c r="A26" s="17" t="s">
        <v>564</v>
      </c>
      <c r="B26" s="48" t="n">
        <f aca="false">Market_Sizing!$B$44</f>
        <v>513.297459292873</v>
      </c>
      <c r="C26" s="48" t="n">
        <f aca="false">Market_Sizing!$C$44</f>
        <v>519.425800492611</v>
      </c>
      <c r="D26" s="48" t="n">
        <f aca="false">Market_Sizing!$D$44</f>
        <v>527.394375</v>
      </c>
      <c r="E26" s="48" t="n">
        <f aca="false">Market_Sizing!$E$44</f>
        <v>536.264465625</v>
      </c>
      <c r="F26" s="48" t="n">
        <f aca="false">Market_Sizing!$F$44</f>
        <v>550.332351351562</v>
      </c>
      <c r="G26" s="48" t="n">
        <f aca="false">Market_Sizing!$G$44</f>
        <v>572.668703039179</v>
      </c>
      <c r="H26" s="48" t="n">
        <f aca="false">Market_Sizing!$H$44</f>
        <v>592.855788755893</v>
      </c>
      <c r="I26" s="48" t="n">
        <f aca="false">Market_Sizing!$I$44</f>
        <v>610.910926040268</v>
      </c>
      <c r="J26" s="48" t="n">
        <f aca="false">Market_Sizing!$J$44</f>
        <v>625.628598309661</v>
      </c>
    </row>
    <row r="27" customFormat="false" ht="15" hidden="false" customHeight="false" outlineLevel="0" collapsed="false">
      <c r="A27" s="17" t="s">
        <v>565</v>
      </c>
      <c r="B27" s="50" t="n">
        <f aca="false">Market_Sizing!$B$45</f>
        <v>335.696538377539</v>
      </c>
      <c r="C27" s="50" t="n">
        <f aca="false">Market_Sizing!$C$45</f>
        <v>324.641125307882</v>
      </c>
      <c r="D27" s="50" t="n">
        <f aca="false">Market_Sizing!$D$45</f>
        <v>317.49141375</v>
      </c>
      <c r="E27" s="50" t="n">
        <f aca="false">Market_Sizing!$E$45</f>
        <v>313.714712390625</v>
      </c>
      <c r="F27" s="50" t="n">
        <f aca="false">Market_Sizing!$F$45</f>
        <v>327.44774905418</v>
      </c>
      <c r="G27" s="50" t="n">
        <f aca="false">Market_Sizing!$G$45</f>
        <v>349.327908853899</v>
      </c>
      <c r="H27" s="50" t="n">
        <f aca="false">Market_Sizing!$H$45</f>
        <v>367.570589028654</v>
      </c>
      <c r="I27" s="50" t="n">
        <f aca="false">Market_Sizing!$I$45</f>
        <v>381.819328775167</v>
      </c>
      <c r="J27" s="50" t="n">
        <f aca="false">Market_Sizing!$J$45</f>
        <v>391.017873943538</v>
      </c>
    </row>
    <row r="28" customFormat="false" ht="15" hidden="false" customHeight="false" outlineLevel="0" collapsed="false">
      <c r="A28" s="8" t="s">
        <v>566</v>
      </c>
      <c r="C28" s="35" t="n">
        <f aca="false">C26/B26-1</f>
        <v>0.0119391613747326</v>
      </c>
      <c r="D28" s="35" t="n">
        <f aca="false">D26/C26-1</f>
        <v>0.0153411218692485</v>
      </c>
      <c r="E28" s="35" t="n">
        <f aca="false">E26/D26-1</f>
        <v>0.016818705404281</v>
      </c>
      <c r="F28" s="35" t="n">
        <f aca="false">F26/E26-1</f>
        <v>0.0262331118847619</v>
      </c>
      <c r="G28" s="35" t="n">
        <f aca="false">G26/F26-1</f>
        <v>0.0405870227922476</v>
      </c>
      <c r="H28" s="35" t="n">
        <f aca="false">H26/G26-1</f>
        <v>0.0352508974378729</v>
      </c>
      <c r="I28" s="35" t="n">
        <f aca="false">I26/H26-1</f>
        <v>0.0304545179903926</v>
      </c>
      <c r="J28" s="35" t="n">
        <f aca="false">J26/I26-1</f>
        <v>0.0240913554530577</v>
      </c>
    </row>
    <row r="29" customFormat="false" ht="15" hidden="false" customHeight="false" outlineLevel="0" collapsed="false">
      <c r="A29" s="8" t="s">
        <v>567</v>
      </c>
      <c r="B29" s="53" t="n">
        <f aca="false">Market_Sizing!$B$39</f>
        <v>404.059792763717</v>
      </c>
      <c r="C29" s="53" t="n">
        <f aca="false">Market_Sizing!$C$39</f>
        <v>408.549568965517</v>
      </c>
      <c r="D29" s="53" t="n">
        <f aca="false">Market_Sizing!$D$39</f>
        <v>414.855</v>
      </c>
      <c r="E29" s="53" t="n">
        <f aca="false">Market_Sizing!$E$39</f>
        <v>422.037</v>
      </c>
      <c r="F29" s="53" t="n">
        <f aca="false">Market_Sizing!$F$39</f>
        <v>434.391473742187</v>
      </c>
      <c r="G29" s="53" t="n">
        <f aca="false">Market_Sizing!$G$39</f>
        <v>454.988712265664</v>
      </c>
      <c r="H29" s="53" t="n">
        <f aca="false">Market_Sizing!$H$39</f>
        <v>473.410598120775</v>
      </c>
      <c r="I29" s="53" t="n">
        <f aca="false">Market_Sizing!$I$39</f>
        <v>489.674057545623</v>
      </c>
      <c r="J29" s="53" t="n">
        <f aca="false">Market_Sizing!$J$39</f>
        <v>502.573176787596</v>
      </c>
    </row>
    <row r="30" customFormat="false" ht="15" hidden="false" customHeight="false" outlineLevel="0" collapsed="false">
      <c r="A30" s="8" t="s">
        <v>568</v>
      </c>
      <c r="B30" s="53" t="n">
        <f aca="false">Market_Sizing!$B$40</f>
        <v>52.743332767114</v>
      </c>
      <c r="C30" s="53" t="n">
        <f aca="false">Market_Sizing!$C$40</f>
        <v>53.5344827586207</v>
      </c>
      <c r="D30" s="53" t="n">
        <f aca="false">Market_Sizing!$D$40</f>
        <v>54.3375</v>
      </c>
      <c r="E30" s="53" t="n">
        <f aca="false">Market_Sizing!$E$40</f>
        <v>55.1525625</v>
      </c>
      <c r="F30" s="53" t="n">
        <f aca="false">Market_Sizing!$F$40</f>
        <v>55.9798509375</v>
      </c>
      <c r="G30" s="53" t="n">
        <f aca="false">Market_Sizing!$G$40</f>
        <v>56.8195487015625</v>
      </c>
      <c r="H30" s="53" t="n">
        <f aca="false">Market_Sizing!$H$40</f>
        <v>57.6718419320859</v>
      </c>
      <c r="I30" s="53" t="n">
        <f aca="false">Market_Sizing!$I$40</f>
        <v>58.5369195610672</v>
      </c>
      <c r="J30" s="53" t="n">
        <f aca="false">Market_Sizing!$J$40</f>
        <v>59.4149733544832</v>
      </c>
    </row>
    <row r="31" customFormat="false" ht="15" hidden="false" customHeight="false" outlineLevel="0" collapsed="false">
      <c r="A31" s="8" t="s">
        <v>569</v>
      </c>
      <c r="B31" s="53" t="n">
        <f aca="false">Market_Sizing!$B$41</f>
        <v>23.7344997452013</v>
      </c>
      <c r="C31" s="53" t="n">
        <f aca="false">Market_Sizing!$C$41</f>
        <v>24.0905172413793</v>
      </c>
      <c r="D31" s="53" t="n">
        <f aca="false">Market_Sizing!$D$41</f>
        <v>24.451875</v>
      </c>
      <c r="E31" s="53" t="n">
        <f aca="false">Market_Sizing!$E$41</f>
        <v>24.818653125</v>
      </c>
      <c r="F31" s="53" t="n">
        <f aca="false">Market_Sizing!$F$41</f>
        <v>25.190932921875</v>
      </c>
      <c r="G31" s="53" t="n">
        <f aca="false">Market_Sizing!$G$41</f>
        <v>25.5687969157031</v>
      </c>
      <c r="H31" s="53" t="n">
        <f aca="false">Market_Sizing!$H$41</f>
        <v>25.9523288694387</v>
      </c>
      <c r="I31" s="53" t="n">
        <f aca="false">Market_Sizing!$I$41</f>
        <v>26.3416138024802</v>
      </c>
      <c r="J31" s="53" t="n">
        <f aca="false">Market_Sizing!$J$41</f>
        <v>26.7367380095174</v>
      </c>
    </row>
    <row r="32" customFormat="false" ht="15" hidden="false" customHeight="true" outlineLevel="0" collapsed="false">
      <c r="A32" s="25" t="s">
        <v>570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4" customFormat="false" ht="15" hidden="false" customHeight="false" outlineLevel="0" collapsed="false">
      <c r="A34" s="6" t="s">
        <v>571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customFormat="false" ht="15" hidden="false" customHeight="false" outlineLevel="0" collapsed="false">
      <c r="A35" s="7" t="s">
        <v>479</v>
      </c>
      <c r="B35" s="11" t="s">
        <v>82</v>
      </c>
      <c r="C35" s="11" t="s">
        <v>83</v>
      </c>
      <c r="D35" s="11" t="s">
        <v>68</v>
      </c>
      <c r="E35" s="11" t="s">
        <v>84</v>
      </c>
      <c r="F35" s="11" t="s">
        <v>85</v>
      </c>
      <c r="G35" s="11" t="s">
        <v>86</v>
      </c>
      <c r="H35" s="11" t="s">
        <v>87</v>
      </c>
      <c r="I35" s="11" t="s">
        <v>88</v>
      </c>
      <c r="J35" s="11" t="s">
        <v>89</v>
      </c>
      <c r="K35" s="7" t="s">
        <v>92</v>
      </c>
    </row>
    <row r="36" customFormat="false" ht="15" hidden="false" customHeight="false" outlineLevel="0" collapsed="false">
      <c r="A36" s="8" t="s">
        <v>572</v>
      </c>
      <c r="B36" s="46" t="n">
        <f aca="false">Market_Sizing!$B$21*(Assumptions!$B$64*MAX(0,MIN(1,(2022-2025)/3)))</f>
        <v>0</v>
      </c>
      <c r="C36" s="46" t="n">
        <f aca="false">Market_Sizing!$C$21*(Assumptions!$B$64*MAX(0,MIN(1,(2023-2025)/3)))</f>
        <v>0</v>
      </c>
      <c r="D36" s="46" t="n">
        <f aca="false">Market_Sizing!$D$21*(Assumptions!$B$64*MAX(0,MIN(1,(2024-2025)/3)))</f>
        <v>0</v>
      </c>
      <c r="E36" s="46" t="n">
        <f aca="false">Market_Sizing!$E$21*(Assumptions!$B$64*MAX(0,MIN(1,(2025-2025)/3)))</f>
        <v>0</v>
      </c>
      <c r="F36" s="46" t="n">
        <f aca="false">Market_Sizing!$F$21*(Assumptions!$B$64*MAX(0,MIN(1,(2026-2025)/3)))</f>
        <v>0.5795015625</v>
      </c>
      <c r="G36" s="46" t="n">
        <f aca="false">Market_Sizing!$G$21*(Assumptions!$B$64*MAX(0,MIN(1,(2027-2025)/3)))</f>
        <v>1.176388171875</v>
      </c>
      <c r="H36" s="46" t="n">
        <f aca="false">Market_Sizing!$H$21*(Assumptions!$B$64*MAX(0,MIN(1,(2028-2025)/3)))</f>
        <v>1.79105099167969</v>
      </c>
      <c r="I36" s="46" t="n">
        <f aca="false">Market_Sizing!$I$21*(Assumptions!$B$64*MAX(0,MIN(1,(2029-2025)/3)))</f>
        <v>1.81791675655488</v>
      </c>
      <c r="J36" s="46" t="n">
        <f aca="false">Market_Sizing!$J$21*(Assumptions!$B$64*MAX(0,MIN(1,(2030-2025)/3)))</f>
        <v>1.84518550790321</v>
      </c>
    </row>
    <row r="37" customFormat="false" ht="15" hidden="false" customHeight="false" outlineLevel="0" collapsed="false">
      <c r="A37" s="8" t="s">
        <v>573</v>
      </c>
      <c r="B37" s="49" t="n">
        <f aca="false">Market_Sizing!$B$31*Assumptions!$B$65*(Assumptions!$B$43-Assumptions!$B$44)</f>
        <v>6.57858416850688</v>
      </c>
      <c r="C37" s="49" t="n">
        <f aca="false">Market_Sizing!$C$31*Assumptions!$B$65*(Assumptions!$B$43-Assumptions!$B$44)</f>
        <v>6.87365301724138</v>
      </c>
      <c r="D37" s="49" t="n">
        <f aca="false">Market_Sizing!$D$31*Assumptions!$B$65*(Assumptions!$B$43-Assumptions!$B$44)</f>
        <v>7.574765625</v>
      </c>
      <c r="E37" s="49" t="n">
        <f aca="false">Market_Sizing!$E$31*Assumptions!$B$65*(Assumptions!$B$43-Assumptions!$B$44)</f>
        <v>8.0930390625</v>
      </c>
      <c r="F37" s="49" t="n">
        <f aca="false">Market_Sizing!$F$31*Assumptions!$B$65*(Assumptions!$B$43-Assumptions!$B$44)</f>
        <v>8.41979551464844</v>
      </c>
      <c r="G37" s="49" t="n">
        <f aca="false">Market_Sizing!$G$31*Assumptions!$B$65*(Assumptions!$B$43-Assumptions!$B$44)</f>
        <v>9.37985756418457</v>
      </c>
      <c r="H37" s="49" t="n">
        <f aca="false">Market_Sizing!$H$31*Assumptions!$B$65*(Assumptions!$B$43-Assumptions!$B$44)</f>
        <v>10.1552591228238</v>
      </c>
      <c r="I37" s="49" t="n">
        <f aca="false">Market_Sizing!$I$31*Assumptions!$B$65*(Assumptions!$B$43-Assumptions!$B$44)</f>
        <v>11.1665536771384</v>
      </c>
      <c r="J37" s="49" t="n">
        <f aca="false">Market_Sizing!$J$31*Assumptions!$B$65*(Assumptions!$B$43-Assumptions!$B$44)</f>
        <v>11.7699770585376</v>
      </c>
    </row>
    <row r="38" customFormat="false" ht="15" hidden="false" customHeight="false" outlineLevel="0" collapsed="false">
      <c r="A38" s="17" t="s">
        <v>574</v>
      </c>
      <c r="B38" s="48" t="n">
        <f aca="false">Market_Sizing!$B$44*(1-(Assumptions!$B$64*MAX(0,MIN(1,(2022-2025)/3))))-B37</f>
        <v>506.718875124366</v>
      </c>
      <c r="C38" s="48" t="n">
        <f aca="false">Market_Sizing!$C$44*(1-(Assumptions!$B$64*MAX(0,MIN(1,(2023-2025)/3))))-C37</f>
        <v>512.552147475369</v>
      </c>
      <c r="D38" s="48" t="n">
        <f aca="false">Market_Sizing!$D$44*(1-(Assumptions!$B$64*MAX(0,MIN(1,(2024-2025)/3))))-D37</f>
        <v>519.819609375</v>
      </c>
      <c r="E38" s="48" t="n">
        <f aca="false">Market_Sizing!$E$44*(1-(Assumptions!$B$64*MAX(0,MIN(1,(2025-2025)/3))))-E37</f>
        <v>528.1714265625</v>
      </c>
      <c r="F38" s="48" t="n">
        <f aca="false">Market_Sizing!$F$44*(1-(Assumptions!$B$64*MAX(0,MIN(1,(2026-2025)/3))))-F37</f>
        <v>538.24367349457</v>
      </c>
      <c r="G38" s="48" t="n">
        <f aca="false">Market_Sizing!$G$44*(1-(Assumptions!$B$64*MAX(0,MIN(1,(2027-2025)/3))))-G37</f>
        <v>555.653262767806</v>
      </c>
      <c r="H38" s="48" t="n">
        <f aca="false">Market_Sizing!$H$44*(1-(Assumptions!$B$64*MAX(0,MIN(1,(2028-2025)/3))))-H37</f>
        <v>570.843413857951</v>
      </c>
      <c r="I38" s="48" t="n">
        <f aca="false">Market_Sizing!$I$44*(1-(Assumptions!$B$64*MAX(0,MIN(1,(2029-2025)/3))))-I37</f>
        <v>587.526153842324</v>
      </c>
      <c r="J38" s="48" t="n">
        <f aca="false">Market_Sizing!$J$44*(1-(Assumptions!$B$64*MAX(0,MIN(1,(2030-2025)/3))))-J37</f>
        <v>601.34604928493</v>
      </c>
    </row>
    <row r="39" customFormat="false" ht="15" hidden="false" customHeight="false" outlineLevel="0" collapsed="false">
      <c r="A39" s="17" t="s">
        <v>575</v>
      </c>
      <c r="B39" s="50" t="n">
        <f aca="false">B38*Assumptions!$B$6</f>
        <v>331.394144331335</v>
      </c>
      <c r="C39" s="50" t="n">
        <f aca="false">C38*Assumptions!$C$6</f>
        <v>320.345092172106</v>
      </c>
      <c r="D39" s="50" t="n">
        <f aca="false">D38*Assumptions!$D$6</f>
        <v>312.93140484375</v>
      </c>
      <c r="E39" s="50" t="n">
        <f aca="false">E38*Assumptions!$E$6</f>
        <v>308.980284539062</v>
      </c>
      <c r="F39" s="50" t="n">
        <f aca="false">F38*Assumptions!$F$6</f>
        <v>320.254985729269</v>
      </c>
      <c r="G39" s="50" t="n">
        <f aca="false">G38*Assumptions!$G$6</f>
        <v>338.948490288362</v>
      </c>
      <c r="H39" s="50" t="n">
        <f aca="false">H38*Assumptions!$H$6</f>
        <v>353.92291659193</v>
      </c>
      <c r="I39" s="50" t="n">
        <f aca="false">I38*Assumptions!$I$6</f>
        <v>367.203846151453</v>
      </c>
      <c r="J39" s="50" t="n">
        <f aca="false">J38*Assumptions!$J$6</f>
        <v>375.841280803081</v>
      </c>
    </row>
    <row r="40" customFormat="false" ht="15" hidden="false" customHeight="false" outlineLevel="0" collapsed="false">
      <c r="A40" s="8" t="s">
        <v>576</v>
      </c>
      <c r="B40" s="35" t="n">
        <f aca="false">B38/Market_Sizing!$B$44-1</f>
        <v>-0.0128163193668827</v>
      </c>
      <c r="C40" s="35" t="n">
        <f aca="false">C38/Market_Sizing!$C$44-1</f>
        <v>-0.0132331759622309</v>
      </c>
      <c r="D40" s="35" t="n">
        <f aca="false">D38/Market_Sizing!$D$44-1</f>
        <v>-0.0143626211883661</v>
      </c>
      <c r="E40" s="35" t="n">
        <f aca="false">E38/Market_Sizing!$E$44-1</f>
        <v>-0.0150915072343416</v>
      </c>
      <c r="F40" s="35" t="n">
        <f aca="false">F38/Market_Sizing!$F$44-1</f>
        <v>-0.0219661406917175</v>
      </c>
      <c r="G40" s="35" t="n">
        <f aca="false">G38/Market_Sizing!$G$44-1</f>
        <v>-0.029712537425342</v>
      </c>
      <c r="H40" s="35" t="n">
        <f aca="false">H38/Market_Sizing!$H$44-1</f>
        <v>-0.0371293918612732</v>
      </c>
      <c r="I40" s="35" t="n">
        <f aca="false">I38/Market_Sizing!$I$44-1</f>
        <v>-0.0382785299806577</v>
      </c>
      <c r="J40" s="35" t="n">
        <f aca="false">J38/Market_Sizing!$J$44-1</f>
        <v>-0.0388130419394799</v>
      </c>
    </row>
    <row r="41" customFormat="false" ht="22.35" hidden="false" customHeight="true" outlineLevel="0" collapsed="false">
      <c r="A41" s="25" t="s">
        <v>577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3" customFormat="false" ht="15" hidden="false" customHeight="false" outlineLevel="0" collapsed="false">
      <c r="A43" s="6" t="s">
        <v>578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customFormat="false" ht="15" hidden="false" customHeight="false" outlineLevel="0" collapsed="false">
      <c r="A44" s="7" t="s">
        <v>479</v>
      </c>
      <c r="B44" s="11" t="s">
        <v>82</v>
      </c>
      <c r="C44" s="11" t="s">
        <v>83</v>
      </c>
      <c r="D44" s="11" t="s">
        <v>68</v>
      </c>
      <c r="E44" s="11" t="s">
        <v>84</v>
      </c>
      <c r="F44" s="11" t="s">
        <v>85</v>
      </c>
      <c r="G44" s="11" t="s">
        <v>86</v>
      </c>
      <c r="H44" s="11" t="s">
        <v>87</v>
      </c>
      <c r="I44" s="11" t="s">
        <v>88</v>
      </c>
      <c r="J44" s="11" t="s">
        <v>89</v>
      </c>
      <c r="K44" s="7" t="s">
        <v>92</v>
      </c>
    </row>
    <row r="45" customFormat="false" ht="15" hidden="false" customHeight="false" outlineLevel="0" collapsed="false">
      <c r="A45" s="8" t="s">
        <v>579</v>
      </c>
      <c r="C45" s="35" t="n">
        <f aca="false">Market_Sizing!$C$21/Market_Sizing!$B$21-1</f>
        <v>0.0150000000000001</v>
      </c>
      <c r="D45" s="35" t="n">
        <f aca="false">Market_Sizing!$D$21/Market_Sizing!$C$21-1</f>
        <v>0.0149999999999999</v>
      </c>
      <c r="E45" s="35" t="n">
        <f aca="false">Market_Sizing!$E$21/Market_Sizing!$D$21-1</f>
        <v>0.0149999999999999</v>
      </c>
      <c r="F45" s="35" t="n">
        <f aca="false">Market_Sizing!$F$21/Market_Sizing!$E$21-1</f>
        <v>0.0150000000000001</v>
      </c>
      <c r="G45" s="35" t="n">
        <f aca="false">Market_Sizing!$G$21/Market_Sizing!$F$21-1</f>
        <v>0.0149999999999997</v>
      </c>
      <c r="H45" s="35" t="n">
        <f aca="false">Market_Sizing!$H$21/Market_Sizing!$G$21-1</f>
        <v>0.0150000000000001</v>
      </c>
      <c r="I45" s="35" t="n">
        <f aca="false">Market_Sizing!$I$21/Market_Sizing!$H$21-1</f>
        <v>0.0149999999999997</v>
      </c>
      <c r="J45" s="35" t="n">
        <f aca="false">Market_Sizing!$J$21/Market_Sizing!$I$21-1</f>
        <v>0.0150000000000003</v>
      </c>
    </row>
    <row r="46" customFormat="false" ht="15" hidden="false" customHeight="false" outlineLevel="0" collapsed="false">
      <c r="A46" s="8" t="s">
        <v>580</v>
      </c>
      <c r="B46" s="34" t="n">
        <f aca="false">Assumptions!$B$121</f>
        <v>0.06</v>
      </c>
      <c r="C46" s="34" t="n">
        <f aca="false">Assumptions!$B$121</f>
        <v>0.06</v>
      </c>
      <c r="D46" s="34" t="n">
        <f aca="false">Assumptions!$B$121</f>
        <v>0.06</v>
      </c>
      <c r="E46" s="34" t="n">
        <f aca="false">Assumptions!$B$121</f>
        <v>0.06</v>
      </c>
      <c r="F46" s="34" t="n">
        <f aca="false">Assumptions!$B$121</f>
        <v>0.06</v>
      </c>
      <c r="G46" s="34" t="n">
        <f aca="false">Assumptions!$B$121</f>
        <v>0.06</v>
      </c>
      <c r="H46" s="34" t="n">
        <f aca="false">Assumptions!$B$121</f>
        <v>0.06</v>
      </c>
      <c r="I46" s="34" t="n">
        <f aca="false">Assumptions!$B$121</f>
        <v>0.06</v>
      </c>
      <c r="J46" s="34" t="n">
        <f aca="false">Assumptions!$B$121</f>
        <v>0.06</v>
      </c>
    </row>
    <row r="47" customFormat="false" ht="15" hidden="false" customHeight="false" outlineLevel="0" collapsed="false">
      <c r="A47" s="8" t="s">
        <v>581</v>
      </c>
      <c r="C47" s="35" t="n">
        <f aca="false">Assumptions!$B$121-C45</f>
        <v>0.0449999999999999</v>
      </c>
      <c r="D47" s="35" t="n">
        <f aca="false">Assumptions!$B$121-D45</f>
        <v>0.0450000000000001</v>
      </c>
      <c r="E47" s="35" t="n">
        <f aca="false">Assumptions!$B$121-E45</f>
        <v>0.0450000000000001</v>
      </c>
      <c r="F47" s="35" t="n">
        <f aca="false">Assumptions!$B$121-F45</f>
        <v>0.0449999999999999</v>
      </c>
      <c r="G47" s="35" t="n">
        <f aca="false">Assumptions!$B$121-G45</f>
        <v>0.0450000000000003</v>
      </c>
      <c r="H47" s="35" t="n">
        <f aca="false">Assumptions!$B$121-H45</f>
        <v>0.0449999999999999</v>
      </c>
      <c r="I47" s="35" t="n">
        <f aca="false">Assumptions!$B$121-I45</f>
        <v>0.0450000000000003</v>
      </c>
      <c r="J47" s="35" t="n">
        <f aca="false">Assumptions!$B$121-J45</f>
        <v>0.0449999999999997</v>
      </c>
    </row>
    <row r="48" customFormat="false" ht="15" hidden="false" customHeight="false" outlineLevel="0" collapsed="false">
      <c r="A48" s="8" t="s">
        <v>582</v>
      </c>
      <c r="B48" s="53" t="n">
        <f aca="false">Assumptions!$B$114</f>
        <v>76.5</v>
      </c>
      <c r="C48" s="53" t="n">
        <f aca="false">Assumptions!$C$114</f>
        <v>80.1</v>
      </c>
      <c r="D48" s="53" t="n">
        <f aca="false">Assumptions!$D$114</f>
        <v>84.6</v>
      </c>
      <c r="E48" s="53" t="n">
        <f aca="false">Assumptions!$E$114</f>
        <v>90.5</v>
      </c>
      <c r="F48" s="53" t="n">
        <f aca="false">Assumptions!$F$114</f>
        <v>96.8</v>
      </c>
      <c r="G48" s="53" t="n">
        <f aca="false">Assumptions!$G$114</f>
        <v>103.5</v>
      </c>
      <c r="H48" s="53" t="n">
        <f aca="false">Assumptions!$H$114</f>
        <v>110.7</v>
      </c>
      <c r="I48" s="53" t="n">
        <f aca="false">Assumptions!$I$114</f>
        <v>118.4</v>
      </c>
      <c r="J48" s="53" t="n">
        <f aca="false">Assumptions!$J$114</f>
        <v>126.7</v>
      </c>
    </row>
    <row r="49" customFormat="false" ht="15" hidden="false" customHeight="false" outlineLevel="0" collapsed="false">
      <c r="A49" s="8" t="s">
        <v>583</v>
      </c>
      <c r="B49" s="49" t="n">
        <f aca="false">Market_Sizing!$B$48*Assumptions!$D$114/Market_Sizing!$D$48</f>
        <v>84.5637103176698</v>
      </c>
      <c r="C49" s="49" t="n">
        <f aca="false">Market_Sizing!$C$48*Assumptions!$D$114/Market_Sizing!$D$48</f>
        <v>84.4993954462102</v>
      </c>
      <c r="D49" s="49" t="n">
        <f aca="false">Market_Sizing!$D$48*Assumptions!$D$114/Market_Sizing!$D$48</f>
        <v>84.6</v>
      </c>
      <c r="E49" s="49" t="n">
        <f aca="false">Market_Sizing!$E$48*Assumptions!$D$114/Market_Sizing!$D$48</f>
        <v>85.715273906675</v>
      </c>
      <c r="F49" s="49" t="n">
        <f aca="false">Market_Sizing!$F$48*Assumptions!$D$114/Market_Sizing!$D$48</f>
        <v>87.7967661373718</v>
      </c>
      <c r="G49" s="49" t="n">
        <f aca="false">Market_Sizing!$G$48*Assumptions!$D$114/Market_Sizing!$D$48</f>
        <v>90.3144688602453</v>
      </c>
      <c r="H49" s="49" t="n">
        <f aca="false">Market_Sizing!$H$48*Assumptions!$D$114/Market_Sizing!$D$48</f>
        <v>92.9215593486391</v>
      </c>
      <c r="I49" s="49" t="n">
        <f aca="false">Market_Sizing!$I$48*Assumptions!$D$114/Market_Sizing!$D$48</f>
        <v>95.2676395822771</v>
      </c>
      <c r="J49" s="49" t="n">
        <f aca="false">Market_Sizing!$J$48*Assumptions!$D$114/Market_Sizing!$D$48</f>
        <v>97.1422866464687</v>
      </c>
    </row>
    <row r="50" customFormat="false" ht="15" hidden="false" customHeight="false" outlineLevel="0" collapsed="false">
      <c r="A50" s="8" t="s">
        <v>584</v>
      </c>
      <c r="B50" s="49" t="n">
        <f aca="false">B48-B49</f>
        <v>-8.06371031766976</v>
      </c>
      <c r="C50" s="49" t="n">
        <f aca="false">C48-C49</f>
        <v>-4.39939544621019</v>
      </c>
      <c r="D50" s="49" t="n">
        <f aca="false">D48-D49</f>
        <v>0</v>
      </c>
      <c r="E50" s="49" t="n">
        <f aca="false">E48-E49</f>
        <v>4.78472609332498</v>
      </c>
      <c r="F50" s="49" t="n">
        <f aca="false">F48-F49</f>
        <v>9.00323386262818</v>
      </c>
      <c r="G50" s="49" t="n">
        <f aca="false">G48-G49</f>
        <v>13.1855311397547</v>
      </c>
      <c r="H50" s="49" t="n">
        <f aca="false">H48-H49</f>
        <v>17.7784406513609</v>
      </c>
      <c r="I50" s="49" t="n">
        <f aca="false">I48-I49</f>
        <v>23.1323604177229</v>
      </c>
      <c r="J50" s="49" t="n">
        <f aca="false">J48-J49</f>
        <v>29.5577133535313</v>
      </c>
    </row>
    <row r="51" customFormat="false" ht="55.5" hidden="false" customHeight="true" outlineLevel="0" collapsed="false">
      <c r="A51" s="25" t="s">
        <v>585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</sheetData>
  <mergeCells count="11">
    <mergeCell ref="A1:K1"/>
    <mergeCell ref="A2:K2"/>
    <mergeCell ref="A4:K4"/>
    <mergeCell ref="A17:K17"/>
    <mergeCell ref="A18:K18"/>
    <mergeCell ref="A20:K20"/>
    <mergeCell ref="A32:K32"/>
    <mergeCell ref="A34:K34"/>
    <mergeCell ref="A41:K41"/>
    <mergeCell ref="A43:K43"/>
    <mergeCell ref="A51:K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7" min="2" style="0" width="11"/>
    <col collapsed="false" customWidth="true" hidden="false" outlineLevel="0" max="8" min="8" style="0" width="13"/>
    <col collapsed="false" customWidth="true" hidden="false" outlineLevel="0" max="9" min="9" style="0" width="40"/>
  </cols>
  <sheetData>
    <row r="1" customFormat="false" ht="25.5" hidden="false" customHeight="true" outlineLevel="0" collapsed="false">
      <c r="A1" s="9" t="s">
        <v>586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false" outlineLevel="0" collapsed="false">
      <c r="A2" s="10" t="s">
        <v>587</v>
      </c>
      <c r="B2" s="10"/>
      <c r="C2" s="10"/>
      <c r="D2" s="10"/>
      <c r="E2" s="10"/>
      <c r="F2" s="10"/>
      <c r="G2" s="10"/>
      <c r="H2" s="10"/>
      <c r="I2" s="10"/>
    </row>
    <row r="4" customFormat="false" ht="15" hidden="false" customHeight="false" outlineLevel="0" collapsed="false">
      <c r="A4" s="6" t="s">
        <v>588</v>
      </c>
      <c r="B4" s="6"/>
      <c r="C4" s="6"/>
      <c r="D4" s="6"/>
      <c r="E4" s="6"/>
      <c r="F4" s="6"/>
      <c r="G4" s="6"/>
      <c r="H4" s="6"/>
      <c r="I4" s="6"/>
    </row>
    <row r="5" customFormat="false" ht="15" hidden="false" customHeight="false" outlineLevel="0" collapsed="false">
      <c r="A5" s="7" t="s">
        <v>589</v>
      </c>
      <c r="B5" s="7" t="s">
        <v>590</v>
      </c>
      <c r="C5" s="7"/>
      <c r="D5" s="7"/>
      <c r="E5" s="7" t="s">
        <v>591</v>
      </c>
      <c r="F5" s="7"/>
      <c r="G5" s="7"/>
      <c r="H5" s="7" t="s">
        <v>592</v>
      </c>
      <c r="I5" s="7"/>
    </row>
    <row r="6" customFormat="false" ht="69.75" hidden="false" customHeight="true" outlineLevel="0" collapsed="false">
      <c r="A6" s="4" t="s">
        <v>593</v>
      </c>
      <c r="B6" s="5" t="s">
        <v>594</v>
      </c>
      <c r="C6" s="5"/>
      <c r="D6" s="5"/>
      <c r="E6" s="5" t="s">
        <v>595</v>
      </c>
      <c r="F6" s="5"/>
      <c r="G6" s="5"/>
      <c r="H6" s="5" t="s">
        <v>596</v>
      </c>
      <c r="I6" s="5"/>
    </row>
    <row r="7" customFormat="false" ht="69.75" hidden="false" customHeight="true" outlineLevel="0" collapsed="false">
      <c r="A7" s="4" t="s">
        <v>597</v>
      </c>
      <c r="B7" s="5" t="s">
        <v>598</v>
      </c>
      <c r="C7" s="5"/>
      <c r="D7" s="5"/>
      <c r="E7" s="5" t="s">
        <v>599</v>
      </c>
      <c r="F7" s="5"/>
      <c r="G7" s="5"/>
      <c r="H7" s="5" t="s">
        <v>600</v>
      </c>
      <c r="I7" s="5"/>
    </row>
    <row r="8" customFormat="false" ht="69.75" hidden="false" customHeight="true" outlineLevel="0" collapsed="false">
      <c r="A8" s="4" t="s">
        <v>601</v>
      </c>
      <c r="B8" s="5" t="s">
        <v>602</v>
      </c>
      <c r="C8" s="5"/>
      <c r="D8" s="5"/>
      <c r="E8" s="5" t="s">
        <v>603</v>
      </c>
      <c r="F8" s="5"/>
      <c r="G8" s="5"/>
      <c r="H8" s="5" t="s">
        <v>604</v>
      </c>
      <c r="I8" s="5"/>
    </row>
    <row r="10" customFormat="false" ht="15" hidden="false" customHeight="false" outlineLevel="0" collapsed="false">
      <c r="A10" s="6" t="s">
        <v>605</v>
      </c>
      <c r="B10" s="6"/>
      <c r="C10" s="6"/>
      <c r="D10" s="6"/>
      <c r="E10" s="6"/>
      <c r="F10" s="6"/>
      <c r="G10" s="6"/>
      <c r="H10" s="6"/>
      <c r="I10" s="6"/>
    </row>
    <row r="11" customFormat="false" ht="15" hidden="false" customHeight="false" outlineLevel="0" collapsed="false">
      <c r="A11" s="7" t="s">
        <v>589</v>
      </c>
      <c r="B11" s="11" t="s">
        <v>84</v>
      </c>
      <c r="C11" s="11" t="s">
        <v>85</v>
      </c>
      <c r="D11" s="11" t="s">
        <v>86</v>
      </c>
      <c r="E11" s="11" t="s">
        <v>87</v>
      </c>
      <c r="F11" s="11" t="s">
        <v>88</v>
      </c>
      <c r="G11" s="11" t="s">
        <v>89</v>
      </c>
      <c r="H11" s="11" t="s">
        <v>606</v>
      </c>
      <c r="I11" s="7" t="s">
        <v>90</v>
      </c>
    </row>
    <row r="12" customFormat="false" ht="15" hidden="false" customHeight="false" outlineLevel="0" collapsed="false">
      <c r="A12" s="56" t="s">
        <v>593</v>
      </c>
      <c r="B12" s="47" t="n">
        <f aca="false">Assumptions!$E$30</f>
        <v>0.4</v>
      </c>
      <c r="C12" s="47" t="n">
        <f aca="false">Assumptions!$F$30</f>
        <v>0.34</v>
      </c>
      <c r="D12" s="47" t="n">
        <f aca="false">Assumptions!$G$30</f>
        <v>0.22</v>
      </c>
      <c r="E12" s="47" t="n">
        <f aca="false">Assumptions!$H$30</f>
        <v>0.12</v>
      </c>
      <c r="F12" s="47" t="n">
        <f aca="false">Assumptions!$I$30</f>
        <v>0.06</v>
      </c>
      <c r="G12" s="47" t="n">
        <f aca="false">Assumptions!$J$30</f>
        <v>0.02</v>
      </c>
      <c r="H12" s="41" t="str">
        <f aca="false">TEXT(B12,"0%")&amp;"-&gt;"&amp;TEXT(G12,"0%")</f>
        <v>40%-&gt;2%</v>
      </c>
      <c r="I12" s="27" t="s">
        <v>607</v>
      </c>
    </row>
    <row r="13" customFormat="false" ht="15" hidden="false" customHeight="false" outlineLevel="0" collapsed="false">
      <c r="A13" s="56" t="s">
        <v>597</v>
      </c>
      <c r="B13" s="28" t="n">
        <v>0.4</v>
      </c>
      <c r="C13" s="28" t="n">
        <v>0.38</v>
      </c>
      <c r="D13" s="28" t="n">
        <v>0.3</v>
      </c>
      <c r="E13" s="28" t="n">
        <v>0.22</v>
      </c>
      <c r="F13" s="28" t="n">
        <v>0.14</v>
      </c>
      <c r="G13" s="28" t="n">
        <v>0.08</v>
      </c>
      <c r="H13" s="41" t="str">
        <f aca="false">TEXT(B13,"0%")&amp;"-&gt;"&amp;TEXT(G13,"0%")</f>
        <v>40%-&gt;8%</v>
      </c>
      <c r="I13" s="27" t="s">
        <v>608</v>
      </c>
    </row>
    <row r="14" customFormat="false" ht="15" hidden="false" customHeight="false" outlineLevel="0" collapsed="false">
      <c r="A14" s="56" t="s">
        <v>601</v>
      </c>
      <c r="B14" s="28" t="n">
        <v>0.4</v>
      </c>
      <c r="C14" s="28" t="n">
        <v>0.3</v>
      </c>
      <c r="D14" s="28" t="n">
        <v>0.15</v>
      </c>
      <c r="E14" s="28" t="n">
        <v>0.06</v>
      </c>
      <c r="F14" s="28" t="n">
        <v>0.03</v>
      </c>
      <c r="G14" s="28" t="n">
        <v>0.01</v>
      </c>
      <c r="H14" s="41" t="str">
        <f aca="false">TEXT(B14,"0%")&amp;"-&gt;"&amp;TEXT(G14,"0%")</f>
        <v>40%-&gt;1%</v>
      </c>
      <c r="I14" s="27" t="s">
        <v>609</v>
      </c>
    </row>
    <row r="16" customFormat="false" ht="15" hidden="false" customHeight="false" outlineLevel="0" collapsed="false">
      <c r="A16" s="6" t="s">
        <v>610</v>
      </c>
      <c r="B16" s="6"/>
      <c r="C16" s="6"/>
      <c r="D16" s="6"/>
      <c r="E16" s="6"/>
      <c r="F16" s="6"/>
      <c r="G16" s="6"/>
      <c r="H16" s="6"/>
      <c r="I16" s="6"/>
    </row>
    <row r="17" customFormat="false" ht="15" hidden="false" customHeight="false" outlineLevel="0" collapsed="false">
      <c r="A17" s="7" t="s">
        <v>589</v>
      </c>
      <c r="B17" s="11" t="s">
        <v>84</v>
      </c>
      <c r="C17" s="11" t="s">
        <v>85</v>
      </c>
      <c r="D17" s="11" t="s">
        <v>86</v>
      </c>
      <c r="E17" s="11" t="s">
        <v>87</v>
      </c>
      <c r="F17" s="11" t="s">
        <v>88</v>
      </c>
      <c r="G17" s="11" t="s">
        <v>89</v>
      </c>
      <c r="H17" s="11" t="s">
        <v>611</v>
      </c>
      <c r="I17" s="7" t="s">
        <v>90</v>
      </c>
    </row>
    <row r="18" customFormat="false" ht="15" hidden="false" customHeight="false" outlineLevel="0" collapsed="false">
      <c r="A18" s="56" t="s">
        <v>593</v>
      </c>
      <c r="B18" s="47" t="n">
        <f aca="false">Assumptions!$E$59</f>
        <v>0.19</v>
      </c>
      <c r="C18" s="47" t="n">
        <f aca="false">Assumptions!$F$59</f>
        <v>0.18</v>
      </c>
      <c r="D18" s="47" t="n">
        <f aca="false">Assumptions!$G$59</f>
        <v>0.14</v>
      </c>
      <c r="E18" s="47" t="n">
        <f aca="false">Assumptions!$H$59</f>
        <v>0.12</v>
      </c>
      <c r="F18" s="47" t="n">
        <f aca="false">Assumptions!$I$59</f>
        <v>0.11</v>
      </c>
      <c r="G18" s="47" t="n">
        <f aca="false">Assumptions!$J$59</f>
        <v>0.1</v>
      </c>
      <c r="I18" s="27" t="s">
        <v>612</v>
      </c>
    </row>
    <row r="19" customFormat="false" ht="15" hidden="false" customHeight="false" outlineLevel="0" collapsed="false">
      <c r="A19" s="56" t="s">
        <v>597</v>
      </c>
      <c r="B19" s="28" t="n">
        <v>0.19</v>
      </c>
      <c r="C19" s="28" t="n">
        <v>0.2</v>
      </c>
      <c r="D19" s="28" t="n">
        <v>0.24</v>
      </c>
      <c r="E19" s="28" t="n">
        <v>0.16</v>
      </c>
      <c r="F19" s="28" t="n">
        <v>0.12</v>
      </c>
      <c r="G19" s="28" t="n">
        <v>0.1</v>
      </c>
      <c r="H19" s="35" t="n">
        <f aca="false">G19-G18</f>
        <v>0</v>
      </c>
      <c r="I19" s="27" t="s">
        <v>613</v>
      </c>
    </row>
    <row r="20" customFormat="false" ht="15" hidden="false" customHeight="false" outlineLevel="0" collapsed="false">
      <c r="A20" s="56" t="s">
        <v>601</v>
      </c>
      <c r="B20" s="28" t="n">
        <v>0.19</v>
      </c>
      <c r="C20" s="28" t="n">
        <v>0.16</v>
      </c>
      <c r="D20" s="28" t="n">
        <v>0.1</v>
      </c>
      <c r="E20" s="28" t="n">
        <v>0.07</v>
      </c>
      <c r="F20" s="28" t="n">
        <v>0.06</v>
      </c>
      <c r="G20" s="28" t="n">
        <v>0.05</v>
      </c>
      <c r="H20" s="35" t="n">
        <f aca="false">G20-G18</f>
        <v>-0.05</v>
      </c>
      <c r="I20" s="27" t="s">
        <v>614</v>
      </c>
    </row>
    <row r="21" customFormat="false" ht="22.35" hidden="false" customHeight="true" outlineLevel="0" collapsed="false">
      <c r="A21" s="25" t="s">
        <v>615</v>
      </c>
      <c r="B21" s="25"/>
      <c r="C21" s="25"/>
      <c r="D21" s="25"/>
      <c r="E21" s="25"/>
      <c r="F21" s="25"/>
      <c r="G21" s="25"/>
      <c r="H21" s="25"/>
      <c r="I21" s="25"/>
    </row>
    <row r="23" customFormat="false" ht="15" hidden="false" customHeight="false" outlineLevel="0" collapsed="false">
      <c r="A23" s="6" t="s">
        <v>616</v>
      </c>
      <c r="B23" s="6"/>
      <c r="C23" s="6"/>
      <c r="D23" s="6"/>
      <c r="E23" s="6"/>
      <c r="F23" s="6"/>
      <c r="G23" s="6"/>
      <c r="H23" s="6"/>
      <c r="I23" s="6"/>
    </row>
    <row r="24" customFormat="false" ht="15" hidden="false" customHeight="false" outlineLevel="0" collapsed="false">
      <c r="A24" s="7" t="s">
        <v>589</v>
      </c>
      <c r="B24" s="11" t="s">
        <v>617</v>
      </c>
      <c r="C24" s="11" t="s">
        <v>618</v>
      </c>
      <c r="D24" s="11" t="s">
        <v>619</v>
      </c>
      <c r="E24" s="11" t="s">
        <v>620</v>
      </c>
      <c r="F24" s="7" t="s">
        <v>621</v>
      </c>
      <c r="G24" s="7"/>
      <c r="H24" s="7"/>
      <c r="I24" s="7"/>
    </row>
    <row r="25" customFormat="false" ht="15" hidden="false" customHeight="true" outlineLevel="0" collapsed="false">
      <c r="A25" s="56" t="s">
        <v>593</v>
      </c>
      <c r="B25" s="46" t="n">
        <f aca="false">Market_Sizing!$G$23*D12</f>
        <v>13.5872833851562</v>
      </c>
      <c r="C25" s="28" t="n">
        <v>0.1</v>
      </c>
      <c r="D25" s="46" t="n">
        <f aca="false">B25*C25</f>
        <v>1.35872833851562</v>
      </c>
      <c r="E25" s="49" t="n">
        <f aca="false">D25*Assumptions!$B$49</f>
        <v>4.61967635095312</v>
      </c>
      <c r="F25" s="25" t="s">
        <v>622</v>
      </c>
      <c r="G25" s="25"/>
      <c r="H25" s="25"/>
      <c r="I25" s="25"/>
    </row>
    <row r="26" customFormat="false" ht="15" hidden="false" customHeight="true" outlineLevel="0" collapsed="false">
      <c r="A26" s="56" t="s">
        <v>597</v>
      </c>
      <c r="B26" s="46" t="n">
        <f aca="false">Market_Sizing!$G$23*D13</f>
        <v>18.5281137070312</v>
      </c>
      <c r="C26" s="28" t="n">
        <v>0.4</v>
      </c>
      <c r="D26" s="46" t="n">
        <f aca="false">B26*C26</f>
        <v>7.4112454828125</v>
      </c>
      <c r="E26" s="49" t="n">
        <f aca="false">D26*Assumptions!$B$49</f>
        <v>25.1982346415625</v>
      </c>
      <c r="F26" s="25" t="s">
        <v>623</v>
      </c>
      <c r="G26" s="25"/>
      <c r="H26" s="25"/>
      <c r="I26" s="25"/>
    </row>
    <row r="27" customFormat="false" ht="15" hidden="false" customHeight="true" outlineLevel="0" collapsed="false">
      <c r="A27" s="56" t="s">
        <v>601</v>
      </c>
      <c r="B27" s="46" t="n">
        <f aca="false">Market_Sizing!$G$23*D14</f>
        <v>9.26405685351562</v>
      </c>
      <c r="C27" s="28" t="n">
        <v>0.05</v>
      </c>
      <c r="D27" s="46" t="n">
        <f aca="false">B27*C27</f>
        <v>0.463202842675781</v>
      </c>
      <c r="E27" s="49" t="n">
        <f aca="false">D27*Assumptions!$B$49</f>
        <v>1.57488966509766</v>
      </c>
      <c r="F27" s="25" t="s">
        <v>624</v>
      </c>
      <c r="G27" s="25"/>
      <c r="H27" s="25"/>
      <c r="I27" s="25"/>
    </row>
    <row r="28" customFormat="false" ht="22.35" hidden="false" customHeight="true" outlineLevel="0" collapsed="false">
      <c r="A28" s="25" t="s">
        <v>625</v>
      </c>
      <c r="B28" s="25"/>
      <c r="C28" s="25"/>
      <c r="D28" s="25"/>
      <c r="E28" s="25"/>
      <c r="F28" s="25"/>
      <c r="G28" s="25"/>
      <c r="H28" s="25"/>
      <c r="I28" s="25"/>
    </row>
    <row r="30" customFormat="false" ht="15" hidden="false" customHeight="false" outlineLevel="0" collapsed="false">
      <c r="A30" s="6" t="s">
        <v>626</v>
      </c>
      <c r="B30" s="6"/>
      <c r="C30" s="6"/>
      <c r="D30" s="6"/>
      <c r="E30" s="6"/>
      <c r="F30" s="6"/>
      <c r="G30" s="6"/>
      <c r="H30" s="6"/>
      <c r="I30" s="6"/>
    </row>
    <row r="31" customFormat="false" ht="15" hidden="false" customHeight="false" outlineLevel="0" collapsed="false">
      <c r="A31" s="7" t="s">
        <v>627</v>
      </c>
      <c r="B31" s="11" t="s">
        <v>628</v>
      </c>
      <c r="C31" s="11" t="s">
        <v>629</v>
      </c>
      <c r="D31" s="7" t="s">
        <v>69</v>
      </c>
      <c r="E31" s="7"/>
      <c r="F31" s="7"/>
      <c r="G31" s="7"/>
      <c r="H31" s="7"/>
      <c r="I31" s="7"/>
    </row>
    <row r="32" customFormat="false" ht="15" hidden="false" customHeight="true" outlineLevel="0" collapsed="false">
      <c r="A32" s="8" t="s">
        <v>630</v>
      </c>
      <c r="B32" s="41" t="n">
        <f aca="false">Assumptions!$B$106*Assumptions!$B$107</f>
        <v>244000</v>
      </c>
      <c r="C32" s="8" t="s">
        <v>332</v>
      </c>
      <c r="D32" s="25" t="s">
        <v>631</v>
      </c>
      <c r="E32" s="25"/>
      <c r="F32" s="25"/>
      <c r="G32" s="25"/>
      <c r="H32" s="25"/>
      <c r="I32" s="25"/>
    </row>
    <row r="33" customFormat="false" ht="15" hidden="false" customHeight="true" outlineLevel="0" collapsed="false">
      <c r="A33" s="8" t="s">
        <v>632</v>
      </c>
      <c r="B33" s="57" t="n">
        <f aca="false">Assumptions!$B$106*Assumptions!$B$107*Assumptions!$B$96/1000000</f>
        <v>13.42</v>
      </c>
      <c r="C33" s="8" t="s">
        <v>373</v>
      </c>
      <c r="D33" s="25" t="s">
        <v>633</v>
      </c>
      <c r="E33" s="25"/>
      <c r="F33" s="25"/>
      <c r="G33" s="25"/>
      <c r="H33" s="25"/>
      <c r="I33" s="25"/>
    </row>
    <row r="34" customFormat="false" ht="15" hidden="false" customHeight="true" outlineLevel="0" collapsed="false">
      <c r="A34" s="8" t="s">
        <v>634</v>
      </c>
      <c r="B34" s="57" t="n">
        <f aca="false">(Assumptions!$B$94+Assumptions!$B$95)/2*0+8</f>
        <v>8</v>
      </c>
      <c r="C34" s="8" t="s">
        <v>373</v>
      </c>
      <c r="D34" s="25" t="s">
        <v>635</v>
      </c>
      <c r="E34" s="25"/>
      <c r="F34" s="25"/>
      <c r="G34" s="25"/>
      <c r="H34" s="25"/>
      <c r="I34" s="25"/>
    </row>
    <row r="35" customFormat="false" ht="15" hidden="false" customHeight="true" outlineLevel="0" collapsed="false">
      <c r="A35" s="8" t="s">
        <v>327</v>
      </c>
      <c r="B35" s="51" t="n">
        <f aca="false">Assumptions!$B$103</f>
        <v>19</v>
      </c>
      <c r="C35" s="8" t="s">
        <v>312</v>
      </c>
      <c r="D35" s="25" t="s">
        <v>636</v>
      </c>
      <c r="E35" s="25"/>
      <c r="F35" s="25"/>
      <c r="G35" s="25"/>
      <c r="H35" s="25"/>
      <c r="I35" s="25"/>
    </row>
    <row r="36" customFormat="false" ht="15" hidden="false" customHeight="true" outlineLevel="0" collapsed="false">
      <c r="A36" s="8" t="s">
        <v>637</v>
      </c>
      <c r="B36" s="41" t="str">
        <f aca="false">Assumptions!$B$101&amp;"-"&amp;Assumptions!$B$102</f>
        <v>5-10.5</v>
      </c>
      <c r="C36" s="8" t="s">
        <v>312</v>
      </c>
      <c r="D36" s="25" t="s">
        <v>638</v>
      </c>
      <c r="E36" s="25"/>
      <c r="F36" s="25"/>
      <c r="G36" s="25"/>
      <c r="H36" s="25"/>
      <c r="I36" s="25"/>
    </row>
    <row r="37" customFormat="false" ht="15" hidden="false" customHeight="true" outlineLevel="0" collapsed="false">
      <c r="A37" s="8" t="s">
        <v>639</v>
      </c>
      <c r="B37" s="41" t="n">
        <f aca="false">(Assumptions!$B$99+Assumptions!$B$100)/2</f>
        <v>15</v>
      </c>
      <c r="C37" s="8" t="s">
        <v>312</v>
      </c>
      <c r="D37" s="25" t="s">
        <v>640</v>
      </c>
      <c r="E37" s="25"/>
      <c r="F37" s="25"/>
      <c r="G37" s="25"/>
      <c r="H37" s="25"/>
      <c r="I37" s="25"/>
    </row>
    <row r="38" customFormat="false" ht="15" hidden="false" customHeight="true" outlineLevel="0" collapsed="false">
      <c r="A38" s="8" t="s">
        <v>641</v>
      </c>
      <c r="B38" s="41" t="str">
        <f aca="false">(Assumptions!$B$99+Assumptions!$B$101)&amp;"-"&amp;(Assumptions!$B$100+Assumptions!$B$102)</f>
        <v>17-28.5</v>
      </c>
      <c r="C38" s="8" t="s">
        <v>312</v>
      </c>
      <c r="D38" s="25" t="s">
        <v>642</v>
      </c>
      <c r="E38" s="25"/>
      <c r="F38" s="25"/>
      <c r="G38" s="25"/>
      <c r="H38" s="25"/>
      <c r="I38" s="25"/>
    </row>
    <row r="39" customFormat="false" ht="15" hidden="false" customHeight="true" outlineLevel="0" collapsed="false">
      <c r="A39" s="8" t="s">
        <v>643</v>
      </c>
      <c r="B39" s="41" t="str">
        <f aca="false">Assumptions!$B$97&amp;"-"&amp;Assumptions!$B$98</f>
        <v>6-9</v>
      </c>
      <c r="C39" s="8" t="s">
        <v>312</v>
      </c>
      <c r="D39" s="25" t="s">
        <v>644</v>
      </c>
      <c r="E39" s="25"/>
      <c r="F39" s="25"/>
      <c r="G39" s="25"/>
      <c r="H39" s="25"/>
      <c r="I39" s="25"/>
    </row>
    <row r="40" customFormat="false" ht="43.5" hidden="false" customHeight="true" outlineLevel="0" collapsed="false">
      <c r="A40" s="25" t="s">
        <v>645</v>
      </c>
      <c r="B40" s="25"/>
      <c r="C40" s="25"/>
      <c r="D40" s="25"/>
      <c r="E40" s="25"/>
      <c r="F40" s="25"/>
      <c r="G40" s="25"/>
      <c r="H40" s="25"/>
      <c r="I40" s="25"/>
    </row>
    <row r="42" customFormat="false" ht="15" hidden="false" customHeight="false" outlineLevel="0" collapsed="false">
      <c r="A42" s="6" t="s">
        <v>646</v>
      </c>
      <c r="B42" s="6"/>
      <c r="C42" s="6"/>
      <c r="D42" s="6"/>
      <c r="E42" s="6"/>
      <c r="F42" s="6"/>
      <c r="G42" s="6"/>
      <c r="H42" s="6"/>
      <c r="I42" s="6"/>
    </row>
    <row r="43" customFormat="false" ht="15" hidden="false" customHeight="false" outlineLevel="0" collapsed="false">
      <c r="A43" s="7" t="s">
        <v>589</v>
      </c>
      <c r="B43" s="11" t="s">
        <v>647</v>
      </c>
      <c r="C43" s="11" t="s">
        <v>648</v>
      </c>
      <c r="D43" s="11" t="s">
        <v>649</v>
      </c>
      <c r="E43" s="11" t="s">
        <v>648</v>
      </c>
      <c r="F43" s="11" t="s">
        <v>650</v>
      </c>
      <c r="G43" s="7" t="s">
        <v>651</v>
      </c>
      <c r="H43" s="7"/>
      <c r="I43" s="7"/>
    </row>
    <row r="44" customFormat="false" ht="15" hidden="false" customHeight="true" outlineLevel="0" collapsed="false">
      <c r="A44" s="56" t="s">
        <v>593</v>
      </c>
      <c r="B44" s="53" t="n">
        <f aca="false">Market_Sizing!$G$44</f>
        <v>572.668703039179</v>
      </c>
      <c r="C44" s="49" t="n">
        <v>0</v>
      </c>
      <c r="D44" s="53" t="n">
        <f aca="false">Market_Sizing!$J$44</f>
        <v>625.628598309661</v>
      </c>
      <c r="E44" s="49" t="n">
        <v>0</v>
      </c>
      <c r="F44" s="24" t="s">
        <v>652</v>
      </c>
      <c r="G44" s="25" t="s">
        <v>653</v>
      </c>
      <c r="H44" s="25"/>
      <c r="I44" s="25"/>
    </row>
    <row r="45" customFormat="false" ht="22.35" hidden="false" customHeight="true" outlineLevel="0" collapsed="false">
      <c r="A45" s="56" t="s">
        <v>597</v>
      </c>
      <c r="B45" s="49" t="n">
        <f aca="false">Market_Sizing!$G$44-E26*0.5</f>
        <v>560.069585718398</v>
      </c>
      <c r="C45" s="49" t="n">
        <f aca="false">B45-Market_Sizing!$G$44</f>
        <v>-12.5991173207813</v>
      </c>
      <c r="D45" s="49" t="n">
        <f aca="false">Market_Sizing!$J$44-E26*0.2</f>
        <v>620.588951381348</v>
      </c>
      <c r="E45" s="49" t="n">
        <f aca="false">D45-Market_Sizing!$J$44</f>
        <v>-5.03964692831255</v>
      </c>
      <c r="F45" s="24" t="s">
        <v>654</v>
      </c>
      <c r="G45" s="25" t="s">
        <v>655</v>
      </c>
      <c r="H45" s="25"/>
      <c r="I45" s="25"/>
    </row>
    <row r="46" customFormat="false" ht="22.35" hidden="false" customHeight="true" outlineLevel="0" collapsed="false">
      <c r="A46" s="56" t="s">
        <v>601</v>
      </c>
      <c r="B46" s="49" t="n">
        <f aca="false">Market_Sizing!$G$44+Market_Sizing!$G$31*Assumptions!$B$48*(D20-Assumptions!$G$59)</f>
        <v>567.666112338281</v>
      </c>
      <c r="C46" s="49" t="n">
        <f aca="false">B46-Market_Sizing!$G$44</f>
        <v>-5.0025907008984</v>
      </c>
      <c r="D46" s="49" t="n">
        <f aca="false">Market_Sizing!$J$44+Market_Sizing!$J$31*Assumptions!$B$48*(G20-Assumptions!$J$59)</f>
        <v>617.781946937302</v>
      </c>
      <c r="E46" s="49" t="n">
        <f aca="false">D46-Market_Sizing!$J$44</f>
        <v>-7.84665137235834</v>
      </c>
      <c r="F46" s="24" t="s">
        <v>656</v>
      </c>
      <c r="G46" s="25" t="s">
        <v>657</v>
      </c>
      <c r="H46" s="25"/>
      <c r="I46" s="25"/>
    </row>
    <row r="47" customFormat="false" ht="49.5" hidden="false" customHeight="true" outlineLevel="0" collapsed="false">
      <c r="A47" s="25" t="s">
        <v>658</v>
      </c>
      <c r="B47" s="25"/>
      <c r="C47" s="25"/>
      <c r="D47" s="25"/>
      <c r="E47" s="25"/>
      <c r="F47" s="25"/>
      <c r="G47" s="25"/>
      <c r="H47" s="25"/>
      <c r="I47" s="25"/>
    </row>
  </sheetData>
  <mergeCells count="41">
    <mergeCell ref="A1:I1"/>
    <mergeCell ref="A2:I2"/>
    <mergeCell ref="A4:I4"/>
    <mergeCell ref="B5:D5"/>
    <mergeCell ref="E5:G5"/>
    <mergeCell ref="H5:I5"/>
    <mergeCell ref="B6:D6"/>
    <mergeCell ref="E6:G6"/>
    <mergeCell ref="H6:I6"/>
    <mergeCell ref="B7:D7"/>
    <mergeCell ref="E7:G7"/>
    <mergeCell ref="H7:I7"/>
    <mergeCell ref="B8:D8"/>
    <mergeCell ref="E8:G8"/>
    <mergeCell ref="H8:I8"/>
    <mergeCell ref="A10:I10"/>
    <mergeCell ref="A16:I16"/>
    <mergeCell ref="A21:I21"/>
    <mergeCell ref="A23:I23"/>
    <mergeCell ref="F24:I24"/>
    <mergeCell ref="F25:I25"/>
    <mergeCell ref="F26:I26"/>
    <mergeCell ref="F27:I27"/>
    <mergeCell ref="A28:I28"/>
    <mergeCell ref="A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A40:I40"/>
    <mergeCell ref="A42:I42"/>
    <mergeCell ref="G43:I43"/>
    <mergeCell ref="G44:I44"/>
    <mergeCell ref="G45:I45"/>
    <mergeCell ref="G46:I46"/>
    <mergeCell ref="A47:I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G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8"/>
  </cols>
  <sheetData>
    <row r="1" customFormat="false" ht="25.5" hidden="false" customHeight="true" outlineLevel="0" collapsed="false">
      <c r="A1" s="9" t="s">
        <v>659</v>
      </c>
      <c r="B1" s="9"/>
      <c r="C1" s="9"/>
      <c r="D1" s="9"/>
      <c r="E1" s="9"/>
      <c r="F1" s="9"/>
      <c r="G1" s="9"/>
    </row>
    <row r="2" customFormat="false" ht="15" hidden="false" customHeight="false" outlineLevel="0" collapsed="false">
      <c r="A2" s="10" t="s">
        <v>660</v>
      </c>
      <c r="B2" s="10"/>
      <c r="C2" s="10"/>
      <c r="D2" s="10"/>
      <c r="E2" s="10"/>
      <c r="F2" s="10"/>
      <c r="G2" s="10"/>
    </row>
    <row r="4" customFormat="false" ht="15" hidden="false" customHeight="false" outlineLevel="0" collapsed="false">
      <c r="A4" s="6" t="s">
        <v>661</v>
      </c>
      <c r="B4" s="6"/>
      <c r="C4" s="6"/>
      <c r="D4" s="6"/>
      <c r="E4" s="6"/>
      <c r="F4" s="6"/>
      <c r="G4" s="6"/>
    </row>
    <row r="5" customFormat="false" ht="15" hidden="false" customHeight="false" outlineLevel="0" collapsed="false">
      <c r="A5" s="7" t="s">
        <v>589</v>
      </c>
      <c r="B5" s="11" t="s">
        <v>662</v>
      </c>
      <c r="C5" s="11" t="s">
        <v>663</v>
      </c>
      <c r="D5" s="11" t="s">
        <v>664</v>
      </c>
      <c r="E5" s="11" t="s">
        <v>665</v>
      </c>
      <c r="F5" s="11" t="s">
        <v>666</v>
      </c>
    </row>
    <row r="6" customFormat="false" ht="15" hidden="false" customHeight="false" outlineLevel="0" collapsed="false">
      <c r="A6" s="8" t="s">
        <v>667</v>
      </c>
      <c r="B6" s="58" t="n">
        <v>0.55</v>
      </c>
      <c r="C6" s="52" t="n">
        <f aca="false">Market_Sizing!$J$44*0.55</f>
        <v>344.095729070313</v>
      </c>
      <c r="D6" s="52" t="n">
        <f aca="false">Market_Sizing!$J$44*0.55-Market_Sizing!$J$44*Assumptions!$J$6</f>
        <v>-46.9221448732245</v>
      </c>
      <c r="E6" s="14"/>
      <c r="F6" s="52" t="n">
        <f aca="false">(Assumptions!$B$122+Assumptions!$B$123)/2*0.55</f>
        <v>82.5</v>
      </c>
    </row>
    <row r="7" customFormat="false" ht="15" hidden="false" customHeight="false" outlineLevel="0" collapsed="false">
      <c r="A7" s="56" t="s">
        <v>668</v>
      </c>
      <c r="B7" s="58" t="n">
        <v>0.625</v>
      </c>
      <c r="C7" s="52" t="n">
        <f aca="false">Market_Sizing!$J$44*Assumptions!$J$6</f>
        <v>391.017873943538</v>
      </c>
      <c r="D7" s="52" t="n">
        <v>0</v>
      </c>
      <c r="E7" s="18" t="s">
        <v>669</v>
      </c>
      <c r="F7" s="52" t="n">
        <f aca="false">(Assumptions!$B$122+Assumptions!$B$123)/2*Assumptions!$J$6</f>
        <v>93.75</v>
      </c>
    </row>
    <row r="8" customFormat="false" ht="15" hidden="false" customHeight="false" outlineLevel="0" collapsed="false">
      <c r="A8" s="8" t="s">
        <v>670</v>
      </c>
      <c r="B8" s="58" t="n">
        <v>0.7</v>
      </c>
      <c r="C8" s="52" t="n">
        <f aca="false">Market_Sizing!$J$44*0.7</f>
        <v>437.940018816762</v>
      </c>
      <c r="D8" s="52" t="n">
        <f aca="false">Market_Sizing!$J$44*0.7-Market_Sizing!$J$44*Assumptions!$J$6</f>
        <v>46.9221448732246</v>
      </c>
      <c r="E8" s="14"/>
      <c r="F8" s="52" t="n">
        <f aca="false">(Assumptions!$B$122+Assumptions!$B$123)/2*0.7</f>
        <v>105</v>
      </c>
    </row>
    <row r="9" customFormat="false" ht="45.75" hidden="false" customHeight="true" outlineLevel="0" collapsed="false">
      <c r="A9" s="25" t="s">
        <v>671</v>
      </c>
      <c r="B9" s="25"/>
      <c r="C9" s="25"/>
      <c r="D9" s="25"/>
      <c r="E9" s="25"/>
      <c r="F9" s="25"/>
      <c r="G9" s="25"/>
    </row>
    <row r="11" customFormat="false" ht="15" hidden="false" customHeight="false" outlineLevel="0" collapsed="false">
      <c r="A11" s="6" t="s">
        <v>672</v>
      </c>
      <c r="B11" s="6"/>
      <c r="C11" s="6"/>
      <c r="D11" s="6"/>
      <c r="E11" s="6"/>
      <c r="F11" s="6"/>
      <c r="G11" s="6"/>
    </row>
    <row r="12" customFormat="false" ht="15" hidden="false" customHeight="false" outlineLevel="0" collapsed="false">
      <c r="A12" s="7" t="s">
        <v>589</v>
      </c>
      <c r="B12" s="11" t="s">
        <v>673</v>
      </c>
      <c r="C12" s="11" t="s">
        <v>649</v>
      </c>
      <c r="D12" s="11" t="s">
        <v>674</v>
      </c>
      <c r="E12" s="11" t="s">
        <v>665</v>
      </c>
      <c r="F12" s="11" t="s">
        <v>675</v>
      </c>
    </row>
    <row r="13" customFormat="false" ht="15" hidden="false" customHeight="false" outlineLevel="0" collapsed="false">
      <c r="A13" s="8" t="s">
        <v>676</v>
      </c>
      <c r="B13" s="59" t="n">
        <v>0.3</v>
      </c>
      <c r="C13" s="49" t="n">
        <f aca="false">Market_Sizing!$J$44+Market_Sizing!$J$31*Assumptions!$B$48*(0.3-Assumptions!$J$59)</f>
        <v>657.015203799094</v>
      </c>
      <c r="D13" s="49" t="n">
        <f aca="false">Market_Sizing!$J$31*Assumptions!$B$48*(0.3-Assumptions!$J$59)</f>
        <v>31.3866054894335</v>
      </c>
      <c r="E13" s="14"/>
      <c r="F13" s="49" t="n">
        <f aca="false">(Assumptions!$B$106*Assumptions!$B$109*Assumptions!$B$25*Assumptions!$B$26/12/1000000)*Assumptions!$B$48*(0.3-Assumptions!$J$59)*Assumptions!$B$117</f>
        <v>0.474336</v>
      </c>
    </row>
    <row r="14" customFormat="false" ht="15" hidden="false" customHeight="false" outlineLevel="0" collapsed="false">
      <c r="A14" s="8" t="s">
        <v>677</v>
      </c>
      <c r="B14" s="59" t="n">
        <v>0.1</v>
      </c>
      <c r="C14" s="49" t="n">
        <f aca="false">Market_Sizing!$J$44+Market_Sizing!$J$31*Assumptions!$B$48*(0.1-Assumptions!$J$59)</f>
        <v>625.628598309661</v>
      </c>
      <c r="D14" s="49" t="n">
        <v>0</v>
      </c>
      <c r="E14" s="14"/>
      <c r="F14" s="49" t="n">
        <f aca="false">(Assumptions!$B$106*Assumptions!$B$109*Assumptions!$B$25*Assumptions!$B$26/12/1000000)*Assumptions!$B$48*(0.1-Assumptions!$J$59)*Assumptions!$B$117</f>
        <v>0</v>
      </c>
    </row>
    <row r="15" customFormat="false" ht="15" hidden="false" customHeight="false" outlineLevel="0" collapsed="false">
      <c r="A15" s="8" t="s">
        <v>678</v>
      </c>
      <c r="B15" s="59" t="n">
        <v>0.05</v>
      </c>
      <c r="C15" s="49" t="n">
        <f aca="false">Market_Sizing!$J$44+Market_Sizing!$J$31*Assumptions!$B$48*(0.05-Assumptions!$J$59)</f>
        <v>617.781946937302</v>
      </c>
      <c r="D15" s="49" t="n">
        <f aca="false">Market_Sizing!$J$31*Assumptions!$B$48*(0.05-Assumptions!$J$59)</f>
        <v>-7.84665137235838</v>
      </c>
      <c r="E15" s="14"/>
      <c r="F15" s="49" t="n">
        <f aca="false">(Assumptions!$B$106*Assumptions!$B$109*Assumptions!$B$25*Assumptions!$B$26/12/1000000)*Assumptions!$B$48*(0.05-Assumptions!$J$59)*Assumptions!$B$117</f>
        <v>-0.118584</v>
      </c>
    </row>
    <row r="16" customFormat="false" ht="15" hidden="false" customHeight="false" outlineLevel="0" collapsed="false">
      <c r="A16" s="56" t="s">
        <v>679</v>
      </c>
      <c r="B16" s="59" t="n">
        <v>0.08</v>
      </c>
      <c r="C16" s="49" t="n">
        <f aca="false">Market_Sizing!$J$44+Market_Sizing!$J$31*Assumptions!$B$48*(0.08-Assumptions!$J$59)</f>
        <v>622.489937760717</v>
      </c>
      <c r="D16" s="49" t="n">
        <f aca="false">Market_Sizing!$J$31*Assumptions!$B$48*(0.08-Assumptions!$J$59)</f>
        <v>-3.13866054894335</v>
      </c>
      <c r="E16" s="18" t="s">
        <v>669</v>
      </c>
      <c r="F16" s="49" t="n">
        <f aca="false">(Assumptions!$B$106*Assumptions!$B$109*Assumptions!$B$25*Assumptions!$B$26/12/1000000)*Assumptions!$B$48*(0.08-Assumptions!$J$59)*Assumptions!$B$117</f>
        <v>-0.0474336</v>
      </c>
    </row>
    <row r="17" customFormat="false" ht="45.75" hidden="false" customHeight="true" outlineLevel="0" collapsed="false">
      <c r="A17" s="25" t="s">
        <v>680</v>
      </c>
      <c r="B17" s="25"/>
      <c r="C17" s="25"/>
      <c r="D17" s="25"/>
      <c r="E17" s="25"/>
      <c r="F17" s="25"/>
      <c r="G17" s="25"/>
    </row>
    <row r="19" customFormat="false" ht="15" hidden="false" customHeight="false" outlineLevel="0" collapsed="false">
      <c r="A19" s="6" t="s">
        <v>681</v>
      </c>
      <c r="B19" s="6"/>
      <c r="C19" s="6"/>
      <c r="D19" s="6"/>
      <c r="E19" s="6"/>
      <c r="F19" s="6"/>
      <c r="G19" s="6"/>
    </row>
    <row r="20" customFormat="false" ht="15" hidden="false" customHeight="false" outlineLevel="0" collapsed="false">
      <c r="A20" s="7" t="s">
        <v>589</v>
      </c>
      <c r="B20" s="11" t="s">
        <v>682</v>
      </c>
      <c r="C20" s="11" t="s">
        <v>650</v>
      </c>
      <c r="D20" s="11" t="s">
        <v>674</v>
      </c>
      <c r="E20" s="11" t="s">
        <v>665</v>
      </c>
      <c r="F20" s="11" t="s">
        <v>683</v>
      </c>
    </row>
    <row r="21" customFormat="false" ht="15" hidden="false" customHeight="false" outlineLevel="0" collapsed="false">
      <c r="A21" s="8" t="s">
        <v>684</v>
      </c>
      <c r="B21" s="60" t="n">
        <v>0</v>
      </c>
      <c r="C21" s="49" t="n">
        <v>0</v>
      </c>
      <c r="D21" s="49" t="n">
        <v>0</v>
      </c>
      <c r="E21" s="14"/>
      <c r="F21" s="46" t="n">
        <f aca="false">(Assumptions!$B$106*Assumptions!$B$107*Assumptions!$B$25*Assumptions!$B$26/12/1000000)*Assumptions!$B$110*0</f>
        <v>0</v>
      </c>
    </row>
    <row r="22" customFormat="false" ht="15" hidden="false" customHeight="false" outlineLevel="0" collapsed="false">
      <c r="A22" s="8" t="s">
        <v>685</v>
      </c>
      <c r="B22" s="60" t="n">
        <v>12</v>
      </c>
      <c r="C22" s="49" t="n">
        <v>1.5</v>
      </c>
      <c r="D22" s="49" t="n">
        <v>1.5</v>
      </c>
      <c r="E22" s="14"/>
      <c r="F22" s="46" t="n">
        <f aca="false">(Assumptions!$B$106*Assumptions!$B$107*Assumptions!$B$25*Assumptions!$B$26/12/1000000)*Assumptions!$B$110*0.3</f>
        <v>1.1529</v>
      </c>
    </row>
    <row r="23" customFormat="false" ht="15" hidden="false" customHeight="false" outlineLevel="0" collapsed="false">
      <c r="A23" s="8" t="s">
        <v>686</v>
      </c>
      <c r="B23" s="60" t="n">
        <v>24</v>
      </c>
      <c r="C23" s="49" t="n">
        <v>2.5</v>
      </c>
      <c r="D23" s="49" t="n">
        <v>2.5</v>
      </c>
      <c r="E23" s="14"/>
      <c r="F23" s="46" t="n">
        <f aca="false">(Assumptions!$B$106*Assumptions!$B$107*Assumptions!$B$25*Assumptions!$B$26/12/1000000)*Assumptions!$B$110*0.5</f>
        <v>1.9215</v>
      </c>
    </row>
    <row r="24" customFormat="false" ht="15" hidden="false" customHeight="false" outlineLevel="0" collapsed="false">
      <c r="A24" s="56" t="s">
        <v>687</v>
      </c>
      <c r="B24" s="60" t="n">
        <v>6</v>
      </c>
      <c r="C24" s="49" t="n">
        <v>0.5</v>
      </c>
      <c r="D24" s="49" t="n">
        <v>0.5</v>
      </c>
      <c r="E24" s="18" t="s">
        <v>669</v>
      </c>
      <c r="F24" s="46" t="n">
        <f aca="false">(Assumptions!$B$106*Assumptions!$B$107*Assumptions!$B$25*Assumptions!$B$26/12/1000000)*Assumptions!$B$110*0.1</f>
        <v>0.3843</v>
      </c>
    </row>
    <row r="25" customFormat="false" ht="45.75" hidden="false" customHeight="true" outlineLevel="0" collapsed="false">
      <c r="A25" s="25" t="s">
        <v>688</v>
      </c>
      <c r="B25" s="25"/>
      <c r="C25" s="25"/>
      <c r="D25" s="25"/>
      <c r="E25" s="25"/>
      <c r="F25" s="25"/>
      <c r="G25" s="25"/>
    </row>
    <row r="27" customFormat="false" ht="15" hidden="false" customHeight="false" outlineLevel="0" collapsed="false">
      <c r="A27" s="6" t="s">
        <v>689</v>
      </c>
      <c r="B27" s="6"/>
      <c r="C27" s="6"/>
      <c r="D27" s="6"/>
      <c r="E27" s="6"/>
      <c r="F27" s="6"/>
      <c r="G27" s="6"/>
    </row>
    <row r="28" customFormat="false" ht="15" hidden="false" customHeight="false" outlineLevel="0" collapsed="false">
      <c r="A28" s="7" t="s">
        <v>589</v>
      </c>
      <c r="B28" s="11" t="s">
        <v>690</v>
      </c>
      <c r="C28" s="11" t="s">
        <v>691</v>
      </c>
      <c r="D28" s="11" t="s">
        <v>674</v>
      </c>
      <c r="E28" s="11" t="s">
        <v>665</v>
      </c>
      <c r="F28" s="11" t="s">
        <v>692</v>
      </c>
    </row>
    <row r="29" customFormat="false" ht="15" hidden="false" customHeight="false" outlineLevel="0" collapsed="false">
      <c r="A29" s="8" t="s">
        <v>693</v>
      </c>
      <c r="B29" s="60" t="n">
        <v>0</v>
      </c>
      <c r="C29" s="49" t="n">
        <v>0</v>
      </c>
      <c r="D29" s="49" t="n">
        <v>0</v>
      </c>
      <c r="E29" s="14"/>
      <c r="F29" s="51" t="n">
        <v>0</v>
      </c>
    </row>
    <row r="30" customFormat="false" ht="15" hidden="false" customHeight="false" outlineLevel="0" collapsed="false">
      <c r="A30" s="8" t="s">
        <v>694</v>
      </c>
      <c r="B30" s="60" t="n">
        <v>10</v>
      </c>
      <c r="C30" s="49" t="n">
        <f aca="false">Assumptions!$D$114*Assumptions!$B$85*1</f>
        <v>0.8037</v>
      </c>
      <c r="D30" s="49" t="n">
        <f aca="false">Assumptions!$D$114*Assumptions!$B$85*1</f>
        <v>0.8037</v>
      </c>
      <c r="E30" s="14"/>
      <c r="F30" s="51" t="n">
        <f aca="false">Assumptions!$B$85*10000*1</f>
        <v>95</v>
      </c>
    </row>
    <row r="31" customFormat="false" ht="15" hidden="false" customHeight="false" outlineLevel="0" collapsed="false">
      <c r="A31" s="8" t="s">
        <v>695</v>
      </c>
      <c r="B31" s="60" t="n">
        <v>20</v>
      </c>
      <c r="C31" s="49" t="n">
        <f aca="false">Assumptions!$D$114*Assumptions!$B$85*2</f>
        <v>1.6074</v>
      </c>
      <c r="D31" s="49" t="n">
        <f aca="false">Assumptions!$D$114*Assumptions!$B$85*2</f>
        <v>1.6074</v>
      </c>
      <c r="E31" s="14"/>
      <c r="F31" s="51" t="n">
        <f aca="false">Assumptions!$B$85*10000*2</f>
        <v>190</v>
      </c>
    </row>
    <row r="32" customFormat="false" ht="15" hidden="false" customHeight="false" outlineLevel="0" collapsed="false">
      <c r="A32" s="8" t="s">
        <v>696</v>
      </c>
      <c r="B32" s="60" t="n">
        <v>30</v>
      </c>
      <c r="C32" s="49" t="n">
        <f aca="false">Assumptions!$D$114*Assumptions!$B$85*3</f>
        <v>2.4111</v>
      </c>
      <c r="D32" s="49" t="n">
        <f aca="false">Assumptions!$D$114*Assumptions!$B$85*3</f>
        <v>2.4111</v>
      </c>
      <c r="E32" s="14"/>
      <c r="F32" s="51" t="n">
        <f aca="false">Assumptions!$B$85*10000*3</f>
        <v>285</v>
      </c>
    </row>
    <row r="33" customFormat="false" ht="45.75" hidden="false" customHeight="true" outlineLevel="0" collapsed="false">
      <c r="A33" s="25" t="s">
        <v>697</v>
      </c>
      <c r="B33" s="25"/>
      <c r="C33" s="25"/>
      <c r="D33" s="25"/>
      <c r="E33" s="25"/>
      <c r="F33" s="25"/>
      <c r="G33" s="25"/>
    </row>
    <row r="35" customFormat="false" ht="15" hidden="false" customHeight="false" outlineLevel="0" collapsed="false">
      <c r="A35" s="6" t="s">
        <v>698</v>
      </c>
      <c r="B35" s="6"/>
      <c r="C35" s="6"/>
      <c r="D35" s="6"/>
      <c r="E35" s="6"/>
      <c r="F35" s="6"/>
      <c r="G35" s="6"/>
    </row>
    <row r="36" customFormat="false" ht="15" hidden="false" customHeight="false" outlineLevel="0" collapsed="false">
      <c r="A36" s="7" t="s">
        <v>589</v>
      </c>
      <c r="B36" s="11" t="s">
        <v>699</v>
      </c>
      <c r="C36" s="11" t="s">
        <v>700</v>
      </c>
      <c r="D36" s="11" t="s">
        <v>674</v>
      </c>
      <c r="E36" s="11" t="s">
        <v>665</v>
      </c>
      <c r="F36" s="11" t="s">
        <v>701</v>
      </c>
    </row>
    <row r="37" customFormat="false" ht="15" hidden="false" customHeight="false" outlineLevel="0" collapsed="false">
      <c r="A37" s="8" t="s">
        <v>702</v>
      </c>
      <c r="B37" s="60" t="n">
        <v>0</v>
      </c>
      <c r="C37" s="49" t="n">
        <v>0</v>
      </c>
      <c r="D37" s="49" t="n">
        <v>0</v>
      </c>
      <c r="E37" s="14"/>
      <c r="F37" s="51" t="n">
        <v>0</v>
      </c>
    </row>
    <row r="38" customFormat="false" ht="15" hidden="false" customHeight="false" outlineLevel="0" collapsed="false">
      <c r="A38" s="8" t="s">
        <v>703</v>
      </c>
      <c r="B38" s="60" t="n">
        <v>20</v>
      </c>
      <c r="C38" s="49" t="n">
        <f aca="false">Assumptions!$D$114*Assumptions!$B$88</f>
        <v>1.5651</v>
      </c>
      <c r="D38" s="49" t="n">
        <f aca="false">Assumptions!$D$114*Assumptions!$B$88</f>
        <v>1.5651</v>
      </c>
      <c r="E38" s="14"/>
      <c r="F38" s="51" t="n">
        <f aca="false">Assumptions!$B$88*10000</f>
        <v>185</v>
      </c>
    </row>
    <row r="39" customFormat="false" ht="15" hidden="false" customHeight="false" outlineLevel="0" collapsed="false">
      <c r="A39" s="56" t="s">
        <v>704</v>
      </c>
      <c r="B39" s="60" t="n">
        <v>0</v>
      </c>
      <c r="C39" s="49" t="n">
        <v>0</v>
      </c>
      <c r="D39" s="49" t="n">
        <v>0</v>
      </c>
      <c r="E39" s="18" t="s">
        <v>669</v>
      </c>
      <c r="F39" s="51" t="n">
        <v>0</v>
      </c>
    </row>
    <row r="40" customFormat="false" ht="45.75" hidden="false" customHeight="true" outlineLevel="0" collapsed="false">
      <c r="A40" s="25" t="s">
        <v>705</v>
      </c>
      <c r="B40" s="25"/>
      <c r="C40" s="25"/>
      <c r="D40" s="25"/>
      <c r="E40" s="25"/>
      <c r="F40" s="25"/>
      <c r="G40" s="25"/>
    </row>
    <row r="42" customFormat="false" ht="15" hidden="false" customHeight="false" outlineLevel="0" collapsed="false">
      <c r="A42" s="6" t="s">
        <v>706</v>
      </c>
      <c r="B42" s="6"/>
      <c r="C42" s="6"/>
      <c r="D42" s="6"/>
      <c r="E42" s="6"/>
      <c r="F42" s="6"/>
      <c r="G42" s="6"/>
    </row>
    <row r="43" customFormat="false" ht="15" hidden="false" customHeight="false" outlineLevel="0" collapsed="false">
      <c r="A43" s="7" t="s">
        <v>589</v>
      </c>
      <c r="B43" s="11" t="s">
        <v>707</v>
      </c>
      <c r="C43" s="11" t="s">
        <v>708</v>
      </c>
      <c r="D43" s="11" t="s">
        <v>709</v>
      </c>
      <c r="E43" s="11" t="s">
        <v>665</v>
      </c>
    </row>
    <row r="44" customFormat="false" ht="15" hidden="false" customHeight="false" outlineLevel="0" collapsed="false">
      <c r="A44" s="8" t="s">
        <v>710</v>
      </c>
      <c r="B44" s="60" t="n">
        <v>0</v>
      </c>
      <c r="C44" s="46" t="n">
        <v>0</v>
      </c>
      <c r="D44" s="46" t="n">
        <v>0</v>
      </c>
      <c r="E44" s="14"/>
      <c r="F44" s="46" t="n">
        <v>0</v>
      </c>
    </row>
    <row r="45" customFormat="false" ht="15" hidden="false" customHeight="false" outlineLevel="0" collapsed="false">
      <c r="A45" s="8" t="s">
        <v>711</v>
      </c>
      <c r="B45" s="60" t="n">
        <v>3</v>
      </c>
      <c r="C45" s="46" t="n">
        <f aca="false">(Assumptions!$B$106*Assumptions!$B$107*Assumptions!$B$25*Assumptions!$B$26/12/1000000)*Assumptions!$B$110*0.15</f>
        <v>0.57645</v>
      </c>
      <c r="D45" s="46" t="n">
        <f aca="false">(Assumptions!$B$106*Assumptions!$B$107*Assumptions!$B$25*Assumptions!$B$26/12/1000000)*Assumptions!$B$110*0.15</f>
        <v>0.57645</v>
      </c>
      <c r="E45" s="14"/>
      <c r="F45" s="46" t="n">
        <f aca="false">(Assumptions!$B$106*Assumptions!$B$107*Assumptions!$B$25*Assumptions!$B$26/12/1000000)*Assumptions!$B$110*0.15</f>
        <v>0.57645</v>
      </c>
    </row>
    <row r="46" customFormat="false" ht="15" hidden="false" customHeight="false" outlineLevel="0" collapsed="false">
      <c r="A46" s="8" t="s">
        <v>712</v>
      </c>
      <c r="B46" s="60" t="n">
        <v>6</v>
      </c>
      <c r="C46" s="46" t="n">
        <f aca="false">(Assumptions!$B$106*Assumptions!$B$107*Assumptions!$B$25*Assumptions!$B$26/12/1000000)*Assumptions!$B$110*0.3</f>
        <v>1.1529</v>
      </c>
      <c r="D46" s="46" t="n">
        <f aca="false">(Assumptions!$B$106*Assumptions!$B$107*Assumptions!$B$25*Assumptions!$B$26/12/1000000)*Assumptions!$B$110*0.3</f>
        <v>1.1529</v>
      </c>
      <c r="E46" s="14"/>
      <c r="F46" s="46" t="n">
        <f aca="false">(Assumptions!$B$106*Assumptions!$B$107*Assumptions!$B$25*Assumptions!$B$26/12/1000000)*Assumptions!$B$110*0.3</f>
        <v>1.1529</v>
      </c>
    </row>
    <row r="47" customFormat="false" ht="15" hidden="false" customHeight="false" outlineLevel="0" collapsed="false">
      <c r="A47" s="56" t="s">
        <v>713</v>
      </c>
      <c r="B47" s="60" t="n">
        <v>0</v>
      </c>
      <c r="C47" s="46" t="n">
        <v>0</v>
      </c>
      <c r="D47" s="46" t="n">
        <v>0</v>
      </c>
      <c r="E47" s="18" t="s">
        <v>669</v>
      </c>
      <c r="F47" s="46" t="n">
        <v>0</v>
      </c>
    </row>
    <row r="48" customFormat="false" ht="45.75" hidden="false" customHeight="true" outlineLevel="0" collapsed="false">
      <c r="A48" s="25" t="s">
        <v>714</v>
      </c>
      <c r="B48" s="25"/>
      <c r="C48" s="25"/>
      <c r="D48" s="25"/>
      <c r="E48" s="25"/>
      <c r="F48" s="25"/>
      <c r="G48" s="25"/>
    </row>
    <row r="50" customFormat="false" ht="15" hidden="false" customHeight="false" outlineLevel="0" collapsed="false">
      <c r="A50" s="6" t="s">
        <v>715</v>
      </c>
      <c r="B50" s="6"/>
      <c r="C50" s="6"/>
      <c r="D50" s="6"/>
      <c r="E50" s="6"/>
      <c r="F50" s="6"/>
      <c r="G50" s="6"/>
    </row>
    <row r="51" customFormat="false" ht="15" hidden="false" customHeight="false" outlineLevel="0" collapsed="false">
      <c r="A51" s="7" t="s">
        <v>589</v>
      </c>
      <c r="B51" s="11" t="s">
        <v>716</v>
      </c>
      <c r="C51" s="11" t="s">
        <v>717</v>
      </c>
      <c r="D51" s="11" t="s">
        <v>648</v>
      </c>
      <c r="E51" s="11" t="s">
        <v>665</v>
      </c>
      <c r="F51" s="11" t="s">
        <v>718</v>
      </c>
    </row>
    <row r="52" customFormat="false" ht="15" hidden="false" customHeight="false" outlineLevel="0" collapsed="false">
      <c r="A52" s="56" t="s">
        <v>719</v>
      </c>
      <c r="B52" s="14" t="s">
        <v>133</v>
      </c>
      <c r="C52" s="49" t="s">
        <v>720</v>
      </c>
      <c r="D52" s="49" t="n">
        <v>0</v>
      </c>
      <c r="E52" s="18" t="s">
        <v>669</v>
      </c>
      <c r="F52" s="41" t="s">
        <v>720</v>
      </c>
    </row>
    <row r="53" customFormat="false" ht="15" hidden="false" customHeight="false" outlineLevel="0" collapsed="false">
      <c r="A53" s="8" t="s">
        <v>721</v>
      </c>
      <c r="B53" s="14" t="s">
        <v>722</v>
      </c>
      <c r="C53" s="49" t="s">
        <v>656</v>
      </c>
      <c r="D53" s="49" t="s">
        <v>656</v>
      </c>
      <c r="E53" s="14"/>
      <c r="F53" s="41" t="s">
        <v>723</v>
      </c>
    </row>
    <row r="54" customFormat="false" ht="15" hidden="false" customHeight="false" outlineLevel="0" collapsed="false">
      <c r="A54" s="8" t="s">
        <v>724</v>
      </c>
      <c r="B54" s="14" t="s">
        <v>725</v>
      </c>
      <c r="C54" s="49" t="s">
        <v>726</v>
      </c>
      <c r="D54" s="49" t="s">
        <v>726</v>
      </c>
      <c r="E54" s="14"/>
      <c r="F54" s="41" t="s">
        <v>727</v>
      </c>
    </row>
    <row r="55" customFormat="false" ht="45.75" hidden="false" customHeight="true" outlineLevel="0" collapsed="false">
      <c r="A55" s="25" t="s">
        <v>728</v>
      </c>
      <c r="B55" s="25"/>
      <c r="C55" s="25"/>
      <c r="D55" s="25"/>
      <c r="E55" s="25"/>
      <c r="F55" s="25"/>
      <c r="G55" s="25"/>
    </row>
  </sheetData>
  <mergeCells count="16">
    <mergeCell ref="A1:G1"/>
    <mergeCell ref="A2:G2"/>
    <mergeCell ref="A4:G4"/>
    <mergeCell ref="A9:G9"/>
    <mergeCell ref="A11:G11"/>
    <mergeCell ref="A17:G17"/>
    <mergeCell ref="A19:G19"/>
    <mergeCell ref="A25:G25"/>
    <mergeCell ref="A27:G27"/>
    <mergeCell ref="A33:G33"/>
    <mergeCell ref="A35:G35"/>
    <mergeCell ref="A40:G40"/>
    <mergeCell ref="A42:G42"/>
    <mergeCell ref="A48:G48"/>
    <mergeCell ref="A50:G50"/>
    <mergeCell ref="A55:G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A1:J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8" min="2" style="0" width="12"/>
    <col collapsed="false" customWidth="true" hidden="false" outlineLevel="0" max="9" min="9" style="0" width="16"/>
  </cols>
  <sheetData>
    <row r="1" customFormat="false" ht="25.5" hidden="false" customHeight="true" outlineLevel="0" collapsed="false">
      <c r="A1" s="9" t="s">
        <v>729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false" outlineLevel="0" collapsed="false">
      <c r="A2" s="10" t="s">
        <v>730</v>
      </c>
      <c r="B2" s="10"/>
      <c r="C2" s="10"/>
      <c r="D2" s="10"/>
      <c r="E2" s="10"/>
      <c r="F2" s="10"/>
      <c r="G2" s="10"/>
      <c r="H2" s="10"/>
      <c r="I2" s="10"/>
    </row>
    <row r="4" customFormat="false" ht="15" hidden="false" customHeight="false" outlineLevel="0" collapsed="false">
      <c r="A4" s="6" t="s">
        <v>731</v>
      </c>
      <c r="B4" s="6"/>
      <c r="C4" s="6"/>
      <c r="D4" s="6"/>
      <c r="E4" s="6"/>
      <c r="F4" s="6"/>
      <c r="G4" s="6"/>
      <c r="H4" s="6"/>
      <c r="I4" s="6"/>
    </row>
    <row r="5" customFormat="false" ht="15" hidden="false" customHeight="false" outlineLevel="0" collapsed="false">
      <c r="A5" s="8" t="s">
        <v>732</v>
      </c>
      <c r="B5" s="61" t="n">
        <f aca="false">Assumptions!$B$106</f>
        <v>610000</v>
      </c>
      <c r="D5" s="21" t="s">
        <v>733</v>
      </c>
    </row>
    <row r="6" customFormat="false" ht="15" hidden="false" customHeight="false" outlineLevel="0" collapsed="false">
      <c r="A6" s="8" t="s">
        <v>734</v>
      </c>
      <c r="B6" s="62" t="s">
        <v>735</v>
      </c>
      <c r="D6" s="21" t="s">
        <v>736</v>
      </c>
    </row>
    <row r="7" customFormat="false" ht="15" hidden="false" customHeight="false" outlineLevel="0" collapsed="false">
      <c r="A7" s="8" t="s">
        <v>737</v>
      </c>
      <c r="B7" s="47" t="n">
        <f aca="false">Assumptions!$B$107</f>
        <v>0.4</v>
      </c>
    </row>
    <row r="8" customFormat="false" ht="15" hidden="false" customHeight="false" outlineLevel="0" collapsed="false">
      <c r="A8" s="8" t="s">
        <v>738</v>
      </c>
      <c r="B8" s="47" t="n">
        <f aca="false">Assumptions!$B$108</f>
        <v>0.3</v>
      </c>
    </row>
    <row r="9" customFormat="false" ht="15" hidden="false" customHeight="false" outlineLevel="0" collapsed="false">
      <c r="A9" s="8" t="s">
        <v>739</v>
      </c>
      <c r="B9" s="47" t="n">
        <f aca="false">Assumptions!$B$109</f>
        <v>0.3</v>
      </c>
      <c r="D9" s="21" t="s">
        <v>740</v>
      </c>
    </row>
    <row r="10" customFormat="false" ht="15" hidden="false" customHeight="false" outlineLevel="0" collapsed="false">
      <c r="A10" s="8" t="s">
        <v>741</v>
      </c>
      <c r="B10" s="51" t="n">
        <f aca="false">Assumptions!$B$106*Assumptions!$B$107</f>
        <v>244000</v>
      </c>
      <c r="D10" s="21" t="s">
        <v>742</v>
      </c>
    </row>
    <row r="12" customFormat="false" ht="15" hidden="false" customHeight="false" outlineLevel="0" collapsed="false">
      <c r="A12" s="6" t="s">
        <v>743</v>
      </c>
      <c r="B12" s="6"/>
      <c r="C12" s="6"/>
      <c r="D12" s="6"/>
      <c r="E12" s="6"/>
      <c r="F12" s="6"/>
      <c r="G12" s="6"/>
      <c r="H12" s="6"/>
      <c r="I12" s="6"/>
    </row>
    <row r="13" customFormat="false" ht="15" hidden="false" customHeight="false" outlineLevel="0" collapsed="false">
      <c r="A13" s="7" t="s">
        <v>744</v>
      </c>
      <c r="B13" s="11" t="s">
        <v>82</v>
      </c>
      <c r="C13" s="11" t="s">
        <v>83</v>
      </c>
      <c r="D13" s="11" t="s">
        <v>68</v>
      </c>
      <c r="E13" s="11" t="s">
        <v>84</v>
      </c>
      <c r="F13" s="11" t="s">
        <v>85</v>
      </c>
      <c r="G13" s="11" t="s">
        <v>86</v>
      </c>
      <c r="H13" s="11" t="s">
        <v>87</v>
      </c>
      <c r="I13" s="11" t="s">
        <v>88</v>
      </c>
      <c r="J13" s="11" t="s">
        <v>89</v>
      </c>
    </row>
    <row r="14" customFormat="false" ht="15" hidden="false" customHeight="false" outlineLevel="0" collapsed="false">
      <c r="A14" s="8" t="s">
        <v>745</v>
      </c>
      <c r="B14" s="38" t="n">
        <f aca="false">Assumptions!$B$114</f>
        <v>76.5</v>
      </c>
      <c r="C14" s="38" t="n">
        <f aca="false">Assumptions!$C$114</f>
        <v>80.1</v>
      </c>
      <c r="D14" s="38" t="n">
        <f aca="false">Assumptions!$D$114</f>
        <v>84.6</v>
      </c>
      <c r="E14" s="38" t="n">
        <f aca="false">Assumptions!$E$114</f>
        <v>90.5</v>
      </c>
      <c r="F14" s="38" t="n">
        <f aca="false">Assumptions!$F$114</f>
        <v>96.8</v>
      </c>
      <c r="G14" s="38" t="n">
        <f aca="false">Assumptions!$G$114</f>
        <v>103.5</v>
      </c>
      <c r="H14" s="38" t="n">
        <f aca="false">Assumptions!$H$114</f>
        <v>110.7</v>
      </c>
      <c r="I14" s="38" t="n">
        <f aca="false">Assumptions!$I$114</f>
        <v>118.4</v>
      </c>
      <c r="J14" s="38" t="n">
        <f aca="false">Assumptions!$J$114</f>
        <v>126.7</v>
      </c>
    </row>
    <row r="15" customFormat="false" ht="15" hidden="false" customHeight="false" outlineLevel="0" collapsed="false">
      <c r="A15" s="8" t="s">
        <v>746</v>
      </c>
      <c r="B15" s="38" t="n">
        <f aca="false">Assumptions!$B$115</f>
        <v>8.9</v>
      </c>
      <c r="C15" s="38" t="n">
        <f aca="false">Assumptions!$C$115</f>
        <v>9.7</v>
      </c>
      <c r="D15" s="38" t="n">
        <f aca="false">Assumptions!$D$115</f>
        <v>10.8</v>
      </c>
    </row>
    <row r="16" customFormat="false" ht="15" hidden="false" customHeight="false" outlineLevel="0" collapsed="false">
      <c r="A16" s="8" t="s">
        <v>747</v>
      </c>
      <c r="B16" s="35" t="n">
        <f aca="false">IFERROR(B15/B14,"")</f>
        <v>0.116339869281046</v>
      </c>
      <c r="C16" s="35" t="n">
        <f aca="false">IFERROR(C15/C14,"")</f>
        <v>0.121098626716604</v>
      </c>
      <c r="D16" s="35" t="n">
        <f aca="false">IFERROR(D15/D14,"")</f>
        <v>0.127659574468085</v>
      </c>
      <c r="E16" s="35"/>
      <c r="F16" s="35"/>
      <c r="G16" s="35"/>
      <c r="H16" s="35"/>
      <c r="I16" s="35"/>
      <c r="J16" s="35"/>
    </row>
    <row r="17" customFormat="false" ht="15" hidden="false" customHeight="false" outlineLevel="0" collapsed="false">
      <c r="A17" s="8" t="s">
        <v>748</v>
      </c>
      <c r="B17" s="45" t="n">
        <f aca="false">Assumptions!$B$116</f>
        <v>11.8</v>
      </c>
      <c r="C17" s="45" t="n">
        <f aca="false">Assumptions!$C$116</f>
        <v>12.4</v>
      </c>
      <c r="D17" s="45" t="n">
        <f aca="false">Assumptions!$D$116</f>
        <v>13.1</v>
      </c>
    </row>
    <row r="18" customFormat="false" ht="15" hidden="false" customHeight="false" outlineLevel="0" collapsed="false">
      <c r="A18" s="8" t="s">
        <v>749</v>
      </c>
      <c r="B18" s="49" t="n">
        <f aca="false">IFERROR(B14/B17,"")</f>
        <v>6.48305084745763</v>
      </c>
      <c r="C18" s="49" t="n">
        <f aca="false">IFERROR(C14/C17,"")</f>
        <v>6.45967741935484</v>
      </c>
      <c r="D18" s="49" t="n">
        <f aca="false">IFERROR(D14/D17,"")</f>
        <v>6.45801526717557</v>
      </c>
      <c r="E18" s="49"/>
      <c r="F18" s="49"/>
      <c r="G18" s="49"/>
      <c r="H18" s="49"/>
      <c r="I18" s="49"/>
      <c r="J18" s="49"/>
    </row>
    <row r="19" customFormat="false" ht="15" hidden="false" customHeight="false" outlineLevel="0" collapsed="false">
      <c r="A19" s="8" t="s">
        <v>750</v>
      </c>
      <c r="B19" s="49"/>
      <c r="C19" s="49"/>
      <c r="D19" s="49" t="n">
        <f aca="false">Assumptions!$D$114*Assumptions!$B$118</f>
        <v>12.6054</v>
      </c>
      <c r="E19" s="49"/>
      <c r="F19" s="49"/>
      <c r="G19" s="49"/>
      <c r="H19" s="49"/>
      <c r="I19" s="49"/>
      <c r="J19" s="49"/>
    </row>
    <row r="20" customFormat="false" ht="45.75" hidden="false" customHeight="true" outlineLevel="0" collapsed="false">
      <c r="A20" s="25" t="s">
        <v>751</v>
      </c>
      <c r="B20" s="25"/>
      <c r="C20" s="25"/>
      <c r="D20" s="25"/>
      <c r="E20" s="25"/>
      <c r="F20" s="25"/>
      <c r="G20" s="25"/>
      <c r="H20" s="25"/>
      <c r="I20" s="25"/>
    </row>
    <row r="22" customFormat="false" ht="15" hidden="false" customHeight="false" outlineLevel="0" collapsed="false">
      <c r="A22" s="6" t="s">
        <v>752</v>
      </c>
      <c r="B22" s="6"/>
      <c r="C22" s="6"/>
      <c r="D22" s="6"/>
      <c r="E22" s="6"/>
      <c r="F22" s="6"/>
      <c r="G22" s="6"/>
      <c r="H22" s="6"/>
      <c r="I22" s="6"/>
    </row>
    <row r="23" customFormat="false" ht="15" hidden="false" customHeight="false" outlineLevel="0" collapsed="false">
      <c r="A23" s="7" t="s">
        <v>753</v>
      </c>
      <c r="B23" s="11" t="s">
        <v>754</v>
      </c>
      <c r="C23" s="7" t="s">
        <v>755</v>
      </c>
      <c r="E23" s="7" t="s">
        <v>90</v>
      </c>
      <c r="F23" s="7"/>
      <c r="G23" s="7"/>
      <c r="H23" s="7"/>
      <c r="I23" s="7"/>
    </row>
    <row r="24" customFormat="false" ht="15" hidden="false" customHeight="false" outlineLevel="0" collapsed="false">
      <c r="A24" s="8" t="s">
        <v>756</v>
      </c>
      <c r="B24" s="35" t="n">
        <f aca="false">Assumptions!$D$116/(Assumptions!$B$24*Assumptions!$B$25*Assumptions!$B$26/12)</f>
        <v>0.155259259259259</v>
      </c>
      <c r="C24" s="63" t="s">
        <v>757</v>
      </c>
      <c r="D24" s="63"/>
      <c r="E24" s="63" t="s">
        <v>758</v>
      </c>
      <c r="F24" s="63"/>
      <c r="G24" s="63"/>
      <c r="H24" s="63"/>
      <c r="I24" s="63"/>
    </row>
    <row r="25" customFormat="false" ht="15" hidden="false" customHeight="false" outlineLevel="0" collapsed="false">
      <c r="A25" s="8" t="s">
        <v>759</v>
      </c>
      <c r="B25" s="35" t="n">
        <f aca="false">Assumptions!$B$119</f>
        <v>0.18</v>
      </c>
      <c r="C25" s="63" t="s">
        <v>760</v>
      </c>
      <c r="D25" s="63"/>
      <c r="E25" s="63" t="s">
        <v>761</v>
      </c>
      <c r="F25" s="63"/>
      <c r="G25" s="63"/>
      <c r="H25" s="63"/>
      <c r="I25" s="63"/>
    </row>
    <row r="26" customFormat="false" ht="15" hidden="false" customHeight="false" outlineLevel="0" collapsed="false">
      <c r="A26" s="8" t="s">
        <v>762</v>
      </c>
      <c r="B26" s="35" t="n">
        <f aca="false">Assumptions!$B$120</f>
        <v>0.225</v>
      </c>
      <c r="C26" s="63" t="s">
        <v>763</v>
      </c>
      <c r="D26" s="63"/>
      <c r="E26" s="63" t="s">
        <v>764</v>
      </c>
      <c r="F26" s="63"/>
      <c r="G26" s="63"/>
      <c r="H26" s="63"/>
      <c r="I26" s="63"/>
    </row>
    <row r="27" customFormat="false" ht="15" hidden="false" customHeight="false" outlineLevel="0" collapsed="false">
      <c r="A27" s="8" t="s">
        <v>765</v>
      </c>
      <c r="B27" s="35" t="n">
        <f aca="false">Assumptions!$D$114/Market_Sizing!$D$48</f>
        <v>0.233118659567707</v>
      </c>
      <c r="C27" s="63" t="s">
        <v>766</v>
      </c>
      <c r="D27" s="63"/>
      <c r="E27" s="63" t="s">
        <v>767</v>
      </c>
      <c r="F27" s="63"/>
      <c r="G27" s="63"/>
      <c r="H27" s="63"/>
      <c r="I27" s="63"/>
    </row>
    <row r="28" customFormat="false" ht="22.35" hidden="false" customHeight="true" outlineLevel="0" collapsed="false">
      <c r="A28" s="25" t="s">
        <v>768</v>
      </c>
      <c r="B28" s="25"/>
      <c r="C28" s="25"/>
      <c r="D28" s="25"/>
      <c r="E28" s="25"/>
      <c r="F28" s="25"/>
      <c r="G28" s="25"/>
      <c r="H28" s="25"/>
      <c r="I28" s="25"/>
    </row>
    <row r="30" customFormat="false" ht="15" hidden="false" customHeight="false" outlineLevel="0" collapsed="false">
      <c r="A30" s="6" t="s">
        <v>769</v>
      </c>
      <c r="B30" s="6"/>
      <c r="C30" s="6"/>
      <c r="D30" s="6"/>
      <c r="E30" s="6"/>
      <c r="F30" s="6"/>
      <c r="G30" s="6"/>
      <c r="H30" s="6"/>
      <c r="I30" s="6"/>
    </row>
    <row r="31" customFormat="false" ht="15" hidden="false" customHeight="false" outlineLevel="0" collapsed="false">
      <c r="A31" s="7" t="s">
        <v>627</v>
      </c>
      <c r="B31" s="11" t="s">
        <v>373</v>
      </c>
      <c r="C31" s="11" t="s">
        <v>770</v>
      </c>
      <c r="E31" s="7" t="s">
        <v>621</v>
      </c>
      <c r="F31" s="7"/>
      <c r="G31" s="7"/>
      <c r="H31" s="7"/>
      <c r="I31" s="7"/>
    </row>
    <row r="32" customFormat="false" ht="15" hidden="false" customHeight="false" outlineLevel="0" collapsed="false">
      <c r="A32" s="8" t="s">
        <v>771</v>
      </c>
      <c r="B32" s="49" t="n">
        <f aca="false">Assumptions!$D$115</f>
        <v>10.8</v>
      </c>
      <c r="C32" s="35" t="n">
        <f aca="false">Assumptions!$B$117</f>
        <v>0.128</v>
      </c>
      <c r="E32" s="63" t="s">
        <v>772</v>
      </c>
      <c r="F32" s="63"/>
      <c r="G32" s="63"/>
      <c r="H32" s="63"/>
      <c r="I32" s="63"/>
    </row>
    <row r="33" customFormat="false" ht="15" hidden="false" customHeight="false" outlineLevel="0" collapsed="false">
      <c r="A33" s="8" t="s">
        <v>773</v>
      </c>
      <c r="B33" s="49" t="n">
        <f aca="false">Assumptions!$D$114*Assumptions!$B$118-Assumptions!$D$115</f>
        <v>1.8054</v>
      </c>
      <c r="C33" s="35" t="n">
        <f aca="false">Assumptions!$B$118-Assumptions!$B$117</f>
        <v>0.021</v>
      </c>
      <c r="E33" s="63" t="s">
        <v>774</v>
      </c>
      <c r="F33" s="63"/>
      <c r="G33" s="63"/>
      <c r="H33" s="63"/>
      <c r="I33" s="63"/>
    </row>
    <row r="34" customFormat="false" ht="15" hidden="false" customHeight="false" outlineLevel="0" collapsed="false">
      <c r="A34" s="8" t="s">
        <v>775</v>
      </c>
      <c r="B34" s="49" t="n">
        <f aca="false">Assumptions!$D$114*Assumptions!$B$118</f>
        <v>12.6054</v>
      </c>
      <c r="C34" s="35" t="n">
        <f aca="false">Assumptions!$B$118</f>
        <v>0.149</v>
      </c>
      <c r="E34" s="63" t="s">
        <v>776</v>
      </c>
      <c r="F34" s="63"/>
      <c r="G34" s="63"/>
      <c r="H34" s="63"/>
      <c r="I34" s="63"/>
    </row>
    <row r="35" customFormat="false" ht="15" hidden="false" customHeight="false" outlineLevel="0" collapsed="false">
      <c r="A35" s="8" t="s">
        <v>777</v>
      </c>
      <c r="C35" s="35" t="n">
        <f aca="false">Assumptions!$B$78</f>
        <v>0.11</v>
      </c>
      <c r="E35" s="63" t="s">
        <v>778</v>
      </c>
      <c r="F35" s="63"/>
      <c r="G35" s="63"/>
      <c r="H35" s="63"/>
      <c r="I35" s="63"/>
    </row>
    <row r="36" customFormat="false" ht="15" hidden="false" customHeight="false" outlineLevel="0" collapsed="false">
      <c r="A36" s="8" t="s">
        <v>779</v>
      </c>
      <c r="C36" s="35" t="str">
        <f aca="false">Assumptions!$B$76&amp;"-"&amp;Assumptions!$B$77</f>
        <v>0.08-0.15</v>
      </c>
      <c r="E36" s="63" t="s">
        <v>780</v>
      </c>
      <c r="F36" s="63"/>
      <c r="G36" s="63"/>
      <c r="H36" s="63"/>
      <c r="I36" s="63"/>
    </row>
    <row r="37" customFormat="false" ht="22.35" hidden="false" customHeight="true" outlineLevel="0" collapsed="false">
      <c r="A37" s="25" t="s">
        <v>781</v>
      </c>
      <c r="B37" s="25"/>
      <c r="C37" s="25"/>
      <c r="D37" s="25"/>
      <c r="E37" s="25"/>
      <c r="F37" s="25"/>
      <c r="G37" s="25"/>
      <c r="H37" s="25"/>
      <c r="I37" s="25"/>
    </row>
    <row r="39" customFormat="false" ht="15" hidden="false" customHeight="false" outlineLevel="0" collapsed="false">
      <c r="A39" s="6" t="s">
        <v>782</v>
      </c>
      <c r="B39" s="6"/>
      <c r="C39" s="6"/>
      <c r="D39" s="6"/>
      <c r="E39" s="6"/>
      <c r="F39" s="6"/>
      <c r="G39" s="6"/>
      <c r="H39" s="6"/>
      <c r="I39" s="6"/>
    </row>
    <row r="40" customFormat="false" ht="15" hidden="false" customHeight="false" outlineLevel="0" collapsed="false">
      <c r="A40" s="7" t="s">
        <v>783</v>
      </c>
      <c r="B40" s="11" t="s">
        <v>628</v>
      </c>
      <c r="C40" s="11" t="s">
        <v>629</v>
      </c>
      <c r="E40" s="7" t="s">
        <v>784</v>
      </c>
      <c r="F40" s="7"/>
      <c r="G40" s="7"/>
      <c r="H40" s="7"/>
      <c r="I40" s="7"/>
    </row>
    <row r="41" customFormat="false" ht="15" hidden="false" customHeight="false" outlineLevel="0" collapsed="false">
      <c r="A41" s="8" t="s">
        <v>785</v>
      </c>
      <c r="B41" s="64" t="n">
        <f aca="false">Assumptions!$B$154</f>
        <v>10</v>
      </c>
      <c r="C41" s="8" t="s">
        <v>431</v>
      </c>
      <c r="E41" s="63" t="s">
        <v>786</v>
      </c>
      <c r="F41" s="63"/>
      <c r="G41" s="63"/>
      <c r="H41" s="63"/>
      <c r="I41" s="63"/>
    </row>
    <row r="42" customFormat="false" ht="15" hidden="false" customHeight="false" outlineLevel="0" collapsed="false">
      <c r="A42" s="8" t="s">
        <v>787</v>
      </c>
      <c r="B42" s="28" t="n">
        <v>0.4</v>
      </c>
      <c r="C42" s="8" t="s">
        <v>152</v>
      </c>
      <c r="E42" s="63" t="s">
        <v>788</v>
      </c>
      <c r="F42" s="63"/>
      <c r="G42" s="63"/>
      <c r="H42" s="63"/>
      <c r="I42" s="63"/>
    </row>
    <row r="43" customFormat="false" ht="15" hidden="false" customHeight="false" outlineLevel="0" collapsed="false">
      <c r="A43" s="8" t="s">
        <v>789</v>
      </c>
      <c r="B43" s="65" t="n">
        <f aca="false">B41*(1-B42)</f>
        <v>6</v>
      </c>
      <c r="C43" s="8" t="s">
        <v>98</v>
      </c>
    </row>
    <row r="44" customFormat="false" ht="15" hidden="false" customHeight="false" outlineLevel="0" collapsed="false">
      <c r="A44" s="8" t="s">
        <v>790</v>
      </c>
      <c r="B44" s="28" t="n">
        <v>0.225</v>
      </c>
      <c r="C44" s="8" t="s">
        <v>152</v>
      </c>
      <c r="E44" s="63" t="s">
        <v>791</v>
      </c>
      <c r="F44" s="63"/>
      <c r="G44" s="63"/>
      <c r="H44" s="63"/>
      <c r="I44" s="63"/>
    </row>
    <row r="45" customFormat="false" ht="15" hidden="false" customHeight="false" outlineLevel="0" collapsed="false">
      <c r="A45" s="8" t="s">
        <v>792</v>
      </c>
      <c r="B45" s="65" t="n">
        <f aca="false">B43*(1-B44)</f>
        <v>4.65</v>
      </c>
      <c r="C45" s="8" t="s">
        <v>98</v>
      </c>
    </row>
    <row r="46" customFormat="false" ht="15" hidden="false" customHeight="false" outlineLevel="0" collapsed="false">
      <c r="A46" s="8" t="s">
        <v>793</v>
      </c>
      <c r="B46" s="42" t="s">
        <v>794</v>
      </c>
      <c r="C46" s="8" t="s">
        <v>795</v>
      </c>
      <c r="E46" s="63" t="s">
        <v>796</v>
      </c>
      <c r="F46" s="63"/>
      <c r="G46" s="63"/>
      <c r="H46" s="63"/>
      <c r="I46" s="63"/>
    </row>
    <row r="47" customFormat="false" ht="15" hidden="false" customHeight="false" outlineLevel="0" collapsed="false">
      <c r="A47" s="17" t="s">
        <v>797</v>
      </c>
      <c r="B47" s="66" t="n">
        <f aca="false">B45-1</f>
        <v>3.65</v>
      </c>
      <c r="C47" s="66" t="n">
        <f aca="false">B45-0.5</f>
        <v>4.15</v>
      </c>
      <c r="D47" s="8" t="s">
        <v>798</v>
      </c>
    </row>
    <row r="48" customFormat="false" ht="15" hidden="false" customHeight="false" outlineLevel="0" collapsed="false">
      <c r="A48" s="8" t="s">
        <v>799</v>
      </c>
      <c r="B48" s="49" t="n">
        <f aca="false">Assumptions!$D$114*Assumptions!$B$118</f>
        <v>12.6054</v>
      </c>
    </row>
    <row r="49" customFormat="false" ht="15" hidden="false" customHeight="false" outlineLevel="0" collapsed="false">
      <c r="A49" s="17" t="s">
        <v>800</v>
      </c>
      <c r="B49" s="48" t="n">
        <f aca="false">B48*B47</f>
        <v>46.00971</v>
      </c>
      <c r="C49" s="48" t="n">
        <f aca="false">B48*C47</f>
        <v>52.31241</v>
      </c>
      <c r="D49" s="8" t="s">
        <v>801</v>
      </c>
    </row>
    <row r="50" customFormat="false" ht="15" hidden="false" customHeight="false" outlineLevel="0" collapsed="false">
      <c r="A50" s="8" t="s">
        <v>802</v>
      </c>
      <c r="B50" s="38" t="n">
        <f aca="false">Assumptions!$B$122</f>
        <v>130</v>
      </c>
      <c r="C50" s="38" t="n">
        <f aca="false">Assumptions!$B$123</f>
        <v>170</v>
      </c>
      <c r="D50" s="8" t="s">
        <v>803</v>
      </c>
    </row>
    <row r="51" customFormat="false" ht="15" hidden="false" customHeight="false" outlineLevel="0" collapsed="false">
      <c r="A51" s="17" t="s">
        <v>804</v>
      </c>
      <c r="B51" s="48" t="n">
        <f aca="false">B50-B49</f>
        <v>83.99029</v>
      </c>
      <c r="C51" s="48" t="n">
        <f aca="false">C50-C49</f>
        <v>117.68759</v>
      </c>
      <c r="D51" s="8" t="s">
        <v>805</v>
      </c>
    </row>
    <row r="52" customFormat="false" ht="55.5" hidden="false" customHeight="true" outlineLevel="0" collapsed="false">
      <c r="A52" s="25" t="s">
        <v>806</v>
      </c>
      <c r="B52" s="25"/>
      <c r="C52" s="25"/>
      <c r="D52" s="25"/>
      <c r="E52" s="25"/>
      <c r="F52" s="25"/>
      <c r="G52" s="25"/>
      <c r="H52" s="25"/>
      <c r="I52" s="25"/>
    </row>
    <row r="54" customFormat="false" ht="15" hidden="false" customHeight="false" outlineLevel="0" collapsed="false">
      <c r="A54" s="6" t="s">
        <v>807</v>
      </c>
      <c r="B54" s="6"/>
      <c r="C54" s="6"/>
      <c r="D54" s="6"/>
      <c r="E54" s="6"/>
      <c r="F54" s="6"/>
      <c r="G54" s="6"/>
      <c r="H54" s="6"/>
      <c r="I54" s="6"/>
    </row>
    <row r="55" customFormat="false" ht="15" hidden="false" customHeight="false" outlineLevel="0" collapsed="false">
      <c r="A55" s="7" t="s">
        <v>808</v>
      </c>
      <c r="B55" s="11" t="s">
        <v>809</v>
      </c>
      <c r="C55" s="11" t="s">
        <v>810</v>
      </c>
      <c r="E55" s="7" t="s">
        <v>621</v>
      </c>
      <c r="F55" s="7"/>
      <c r="G55" s="7"/>
      <c r="H55" s="7"/>
      <c r="I55" s="7"/>
    </row>
    <row r="56" customFormat="false" ht="15" hidden="false" customHeight="false" outlineLevel="0" collapsed="false">
      <c r="A56" s="8" t="s">
        <v>811</v>
      </c>
      <c r="B56" s="47" t="n">
        <f aca="false">Assumptions!$B$69</f>
        <v>0.625</v>
      </c>
      <c r="C56" s="8" t="s">
        <v>812</v>
      </c>
      <c r="D56" s="8"/>
      <c r="E56" s="63" t="s">
        <v>813</v>
      </c>
      <c r="F56" s="63"/>
      <c r="G56" s="63"/>
      <c r="H56" s="63"/>
      <c r="I56" s="63"/>
    </row>
    <row r="57" customFormat="false" ht="15" hidden="false" customHeight="false" outlineLevel="0" collapsed="false">
      <c r="A57" s="8" t="s">
        <v>249</v>
      </c>
      <c r="B57" s="47" t="n">
        <f aca="false">Assumptions!$B$70</f>
        <v>0.1</v>
      </c>
      <c r="C57" s="8" t="s">
        <v>814</v>
      </c>
      <c r="D57" s="8"/>
      <c r="E57" s="63" t="s">
        <v>815</v>
      </c>
      <c r="F57" s="63"/>
      <c r="G57" s="63"/>
      <c r="H57" s="63"/>
      <c r="I57" s="63"/>
    </row>
    <row r="58" customFormat="false" ht="15" hidden="false" customHeight="false" outlineLevel="0" collapsed="false">
      <c r="A58" s="8" t="s">
        <v>252</v>
      </c>
      <c r="B58" s="47" t="n">
        <f aca="false">Assumptions!$B$71</f>
        <v>0.05</v>
      </c>
      <c r="C58" s="8" t="s">
        <v>816</v>
      </c>
      <c r="D58" s="8"/>
      <c r="E58" s="63" t="s">
        <v>817</v>
      </c>
      <c r="F58" s="63"/>
      <c r="G58" s="63"/>
      <c r="H58" s="63"/>
      <c r="I58" s="63"/>
    </row>
    <row r="59" customFormat="false" ht="15" hidden="false" customHeight="false" outlineLevel="0" collapsed="false">
      <c r="A59" s="8" t="s">
        <v>818</v>
      </c>
      <c r="B59" s="47" t="n">
        <f aca="false">Assumptions!$B$72</f>
        <v>0.07</v>
      </c>
      <c r="C59" s="8" t="s">
        <v>819</v>
      </c>
      <c r="D59" s="8"/>
      <c r="E59" s="63" t="s">
        <v>820</v>
      </c>
      <c r="F59" s="63"/>
      <c r="G59" s="63"/>
      <c r="H59" s="63"/>
      <c r="I59" s="63"/>
    </row>
    <row r="60" customFormat="false" ht="15" hidden="false" customHeight="false" outlineLevel="0" collapsed="false">
      <c r="A60" s="8" t="s">
        <v>258</v>
      </c>
      <c r="B60" s="47" t="n">
        <f aca="false">Assumptions!$B$73</f>
        <v>0.07</v>
      </c>
      <c r="C60" s="8" t="s">
        <v>821</v>
      </c>
      <c r="D60" s="8"/>
      <c r="E60" s="63" t="s">
        <v>822</v>
      </c>
      <c r="F60" s="63"/>
      <c r="G60" s="63"/>
      <c r="H60" s="63"/>
      <c r="I60" s="63"/>
    </row>
    <row r="61" customFormat="false" ht="15" hidden="false" customHeight="false" outlineLevel="0" collapsed="false">
      <c r="A61" s="8" t="s">
        <v>823</v>
      </c>
      <c r="B61" s="47" t="n">
        <f aca="false">Assumptions!$B$78</f>
        <v>0.11</v>
      </c>
      <c r="C61" s="67" t="n">
        <f aca="false">Assumptions!$B$117</f>
        <v>0.128</v>
      </c>
      <c r="D61" s="67"/>
      <c r="E61" s="63" t="s">
        <v>824</v>
      </c>
      <c r="F61" s="63"/>
      <c r="G61" s="63"/>
      <c r="H61" s="63"/>
      <c r="I61" s="63"/>
    </row>
    <row r="63" customFormat="false" ht="15" hidden="false" customHeight="false" outlineLevel="0" collapsed="false">
      <c r="A63" s="6" t="s">
        <v>825</v>
      </c>
      <c r="B63" s="6"/>
      <c r="C63" s="6"/>
      <c r="D63" s="6"/>
      <c r="E63" s="6"/>
      <c r="F63" s="6"/>
      <c r="G63" s="6"/>
      <c r="H63" s="6"/>
      <c r="I63" s="6"/>
    </row>
    <row r="64" customFormat="false" ht="15" hidden="false" customHeight="false" outlineLevel="0" collapsed="false">
      <c r="A64" s="8" t="s">
        <v>826</v>
      </c>
      <c r="B64" s="8" t="s">
        <v>827</v>
      </c>
      <c r="C64" s="8"/>
      <c r="D64" s="8"/>
      <c r="E64" s="63" t="s">
        <v>828</v>
      </c>
      <c r="F64" s="63"/>
      <c r="G64" s="63"/>
      <c r="H64" s="63"/>
      <c r="I64" s="63"/>
    </row>
    <row r="65" customFormat="false" ht="15" hidden="false" customHeight="false" outlineLevel="0" collapsed="false">
      <c r="A65" s="8" t="s">
        <v>829</v>
      </c>
      <c r="B65" s="8" t="s">
        <v>830</v>
      </c>
      <c r="C65" s="8"/>
      <c r="D65" s="8"/>
      <c r="E65" s="63" t="s">
        <v>831</v>
      </c>
      <c r="F65" s="63"/>
      <c r="G65" s="63"/>
      <c r="H65" s="63"/>
      <c r="I65" s="63"/>
    </row>
    <row r="66" customFormat="false" ht="15" hidden="false" customHeight="false" outlineLevel="0" collapsed="false">
      <c r="A66" s="8" t="s">
        <v>832</v>
      </c>
      <c r="B66" s="8" t="s">
        <v>833</v>
      </c>
      <c r="C66" s="8"/>
      <c r="D66" s="8"/>
      <c r="E66" s="63" t="s">
        <v>834</v>
      </c>
      <c r="F66" s="63"/>
      <c r="G66" s="63"/>
      <c r="H66" s="63"/>
      <c r="I66" s="63"/>
    </row>
    <row r="67" customFormat="false" ht="15" hidden="false" customHeight="false" outlineLevel="0" collapsed="false">
      <c r="A67" s="8" t="s">
        <v>835</v>
      </c>
      <c r="B67" s="8" t="s">
        <v>836</v>
      </c>
      <c r="C67" s="8"/>
      <c r="D67" s="8"/>
      <c r="E67" s="63" t="s">
        <v>837</v>
      </c>
      <c r="F67" s="63"/>
      <c r="G67" s="63"/>
      <c r="H67" s="63"/>
      <c r="I67" s="63"/>
    </row>
    <row r="68" customFormat="false" ht="15" hidden="false" customHeight="false" outlineLevel="0" collapsed="false">
      <c r="A68" s="8" t="s">
        <v>838</v>
      </c>
      <c r="B68" s="8" t="s">
        <v>839</v>
      </c>
      <c r="C68" s="8"/>
      <c r="D68" s="8"/>
      <c r="E68" s="63" t="s">
        <v>840</v>
      </c>
      <c r="F68" s="63"/>
      <c r="G68" s="63"/>
      <c r="H68" s="63"/>
      <c r="I68" s="63"/>
    </row>
    <row r="69" customFormat="false" ht="15" hidden="false" customHeight="false" outlineLevel="0" collapsed="false">
      <c r="A69" s="8" t="s">
        <v>841</v>
      </c>
      <c r="B69" s="8" t="s">
        <v>842</v>
      </c>
      <c r="C69" s="8"/>
      <c r="D69" s="8"/>
      <c r="E69" s="63" t="s">
        <v>843</v>
      </c>
      <c r="F69" s="63"/>
      <c r="G69" s="63"/>
      <c r="H69" s="63"/>
      <c r="I69" s="63"/>
    </row>
  </sheetData>
  <mergeCells count="58">
    <mergeCell ref="A1:I1"/>
    <mergeCell ref="A2:I2"/>
    <mergeCell ref="A4:I4"/>
    <mergeCell ref="A12:I12"/>
    <mergeCell ref="A20:I20"/>
    <mergeCell ref="A22:I22"/>
    <mergeCell ref="E23:I23"/>
    <mergeCell ref="C24:D24"/>
    <mergeCell ref="E24:I24"/>
    <mergeCell ref="C25:D25"/>
    <mergeCell ref="E25:I25"/>
    <mergeCell ref="C26:D26"/>
    <mergeCell ref="E26:I26"/>
    <mergeCell ref="C27:D27"/>
    <mergeCell ref="E27:I27"/>
    <mergeCell ref="A28:I28"/>
    <mergeCell ref="A30:I30"/>
    <mergeCell ref="E31:I31"/>
    <mergeCell ref="E32:I32"/>
    <mergeCell ref="E33:I33"/>
    <mergeCell ref="E34:I34"/>
    <mergeCell ref="E35:I35"/>
    <mergeCell ref="E36:I36"/>
    <mergeCell ref="A37:I37"/>
    <mergeCell ref="A39:I39"/>
    <mergeCell ref="E40:I40"/>
    <mergeCell ref="E41:I41"/>
    <mergeCell ref="E42:I42"/>
    <mergeCell ref="E44:I44"/>
    <mergeCell ref="E46:I46"/>
    <mergeCell ref="A52:I52"/>
    <mergeCell ref="A54:I54"/>
    <mergeCell ref="E55:I55"/>
    <mergeCell ref="C56:D56"/>
    <mergeCell ref="E56:I56"/>
    <mergeCell ref="C57:D57"/>
    <mergeCell ref="E57:I57"/>
    <mergeCell ref="C58:D58"/>
    <mergeCell ref="E58:I58"/>
    <mergeCell ref="C59:D59"/>
    <mergeCell ref="E59:I59"/>
    <mergeCell ref="C60:D60"/>
    <mergeCell ref="E60:I60"/>
    <mergeCell ref="C61:D61"/>
    <mergeCell ref="E61:I61"/>
    <mergeCell ref="A63:I63"/>
    <mergeCell ref="B64:D64"/>
    <mergeCell ref="E64:I64"/>
    <mergeCell ref="B65:D65"/>
    <mergeCell ref="E65:I65"/>
    <mergeCell ref="B66:D66"/>
    <mergeCell ref="E66:I66"/>
    <mergeCell ref="B67:D67"/>
    <mergeCell ref="E67:I67"/>
    <mergeCell ref="B68:D68"/>
    <mergeCell ref="E68:I68"/>
    <mergeCell ref="B69:D69"/>
    <mergeCell ref="E69:I6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6"/>
    <col collapsed="false" customWidth="true" hidden="false" outlineLevel="0" max="6" min="5" style="0" width="14"/>
    <col collapsed="false" customWidth="true" hidden="false" outlineLevel="0" max="7" min="7" style="0" width="18"/>
  </cols>
  <sheetData>
    <row r="1" customFormat="false" ht="25.5" hidden="false" customHeight="true" outlineLevel="0" collapsed="false">
      <c r="A1" s="9" t="s">
        <v>844</v>
      </c>
      <c r="B1" s="9"/>
      <c r="C1" s="9"/>
      <c r="D1" s="9"/>
      <c r="E1" s="9"/>
      <c r="F1" s="9"/>
      <c r="G1" s="9"/>
    </row>
    <row r="2" customFormat="false" ht="15" hidden="false" customHeight="false" outlineLevel="0" collapsed="false">
      <c r="A2" s="10" t="s">
        <v>845</v>
      </c>
      <c r="B2" s="10"/>
      <c r="C2" s="10"/>
      <c r="D2" s="10"/>
      <c r="E2" s="10"/>
      <c r="F2" s="10"/>
      <c r="G2" s="10"/>
    </row>
    <row r="4" customFormat="false" ht="15" hidden="false" customHeight="false" outlineLevel="0" collapsed="false">
      <c r="A4" s="6" t="s">
        <v>846</v>
      </c>
      <c r="B4" s="6"/>
      <c r="C4" s="6"/>
      <c r="D4" s="6"/>
      <c r="E4" s="6"/>
      <c r="F4" s="6"/>
      <c r="G4" s="6"/>
    </row>
    <row r="5" customFormat="false" ht="15" hidden="false" customHeight="false" outlineLevel="0" collapsed="false">
      <c r="A5" s="7" t="s">
        <v>847</v>
      </c>
      <c r="B5" s="11" t="s">
        <v>848</v>
      </c>
      <c r="C5" s="11" t="s">
        <v>849</v>
      </c>
      <c r="D5" s="11" t="s">
        <v>850</v>
      </c>
      <c r="E5" s="11" t="s">
        <v>851</v>
      </c>
      <c r="F5" s="7" t="s">
        <v>621</v>
      </c>
      <c r="G5" s="7"/>
    </row>
    <row r="6" customFormat="false" ht="15" hidden="false" customHeight="true" outlineLevel="0" collapsed="false">
      <c r="A6" s="8" t="s">
        <v>852</v>
      </c>
      <c r="B6" s="28" t="n">
        <v>0.3</v>
      </c>
      <c r="C6" s="28" t="n">
        <v>0.35</v>
      </c>
      <c r="D6" s="28" t="n">
        <v>0.4</v>
      </c>
      <c r="E6" s="18" t="s">
        <v>853</v>
      </c>
      <c r="F6" s="25" t="s">
        <v>854</v>
      </c>
      <c r="G6" s="25"/>
    </row>
    <row r="7" customFormat="false" ht="22.35" hidden="false" customHeight="true" outlineLevel="0" collapsed="false">
      <c r="A7" s="8" t="s">
        <v>855</v>
      </c>
      <c r="B7" s="28" t="n">
        <v>0.1</v>
      </c>
      <c r="C7" s="28" t="n">
        <v>0.125</v>
      </c>
      <c r="D7" s="28" t="n">
        <v>0.15</v>
      </c>
      <c r="E7" s="18" t="s">
        <v>856</v>
      </c>
      <c r="F7" s="25" t="s">
        <v>857</v>
      </c>
      <c r="G7" s="25"/>
    </row>
    <row r="8" customFormat="false" ht="22.35" hidden="false" customHeight="true" outlineLevel="0" collapsed="false">
      <c r="A8" s="8" t="s">
        <v>858</v>
      </c>
      <c r="B8" s="28" t="n">
        <v>0.08</v>
      </c>
      <c r="C8" s="28" t="n">
        <v>0.1</v>
      </c>
      <c r="D8" s="28" t="n">
        <v>0.12</v>
      </c>
      <c r="E8" s="14" t="s">
        <v>859</v>
      </c>
      <c r="F8" s="25" t="s">
        <v>860</v>
      </c>
      <c r="G8" s="25"/>
    </row>
    <row r="9" customFormat="false" ht="22.35" hidden="false" customHeight="true" outlineLevel="0" collapsed="false">
      <c r="A9" s="8" t="s">
        <v>861</v>
      </c>
      <c r="B9" s="28" t="n">
        <v>0.35</v>
      </c>
      <c r="C9" s="28" t="n">
        <v>0.425</v>
      </c>
      <c r="D9" s="28" t="n">
        <v>0.5</v>
      </c>
      <c r="E9" s="14" t="s">
        <v>859</v>
      </c>
      <c r="F9" s="25" t="s">
        <v>862</v>
      </c>
      <c r="G9" s="25"/>
    </row>
    <row r="10" customFormat="false" ht="15" hidden="false" customHeight="false" outlineLevel="0" collapsed="false">
      <c r="A10" s="8" t="s">
        <v>863</v>
      </c>
      <c r="B10" s="35" t="n">
        <f aca="false">B6+B7+B8+B9</f>
        <v>0.83</v>
      </c>
      <c r="C10" s="35" t="n">
        <f aca="false">C6+C7+C8+C9</f>
        <v>1</v>
      </c>
      <c r="D10" s="35" t="n">
        <f aca="false">D6+D7+D8+D9</f>
        <v>1.17</v>
      </c>
    </row>
    <row r="12" customFormat="false" ht="15" hidden="false" customHeight="false" outlineLevel="0" collapsed="false">
      <c r="A12" s="6" t="s">
        <v>864</v>
      </c>
      <c r="B12" s="6"/>
      <c r="C12" s="6"/>
      <c r="D12" s="6"/>
      <c r="E12" s="6"/>
      <c r="F12" s="6"/>
      <c r="G12" s="6"/>
    </row>
    <row r="13" customFormat="false" ht="15" hidden="false" customHeight="false" outlineLevel="0" collapsed="false">
      <c r="A13" s="7" t="s">
        <v>865</v>
      </c>
      <c r="B13" s="11" t="s">
        <v>866</v>
      </c>
      <c r="C13" s="11" t="s">
        <v>867</v>
      </c>
      <c r="D13" s="11" t="s">
        <v>868</v>
      </c>
      <c r="E13" s="11" t="s">
        <v>869</v>
      </c>
      <c r="F13" s="11" t="s">
        <v>870</v>
      </c>
      <c r="G13" s="7" t="s">
        <v>621</v>
      </c>
    </row>
    <row r="14" customFormat="false" ht="32.8" hidden="false" customHeight="false" outlineLevel="0" collapsed="false">
      <c r="A14" s="8" t="s">
        <v>871</v>
      </c>
      <c r="B14" s="41" t="s">
        <v>872</v>
      </c>
      <c r="C14" s="36" t="n">
        <v>4.65</v>
      </c>
      <c r="D14" s="49" t="s">
        <v>873</v>
      </c>
      <c r="E14" s="36" t="n">
        <v>0.65</v>
      </c>
      <c r="F14" s="36" t="n">
        <v>2</v>
      </c>
      <c r="G14" s="27" t="s">
        <v>874</v>
      </c>
    </row>
    <row r="15" customFormat="false" ht="15" hidden="false" customHeight="false" outlineLevel="0" collapsed="false">
      <c r="A15" s="8" t="s">
        <v>875</v>
      </c>
      <c r="B15" s="41" t="s">
        <v>876</v>
      </c>
      <c r="C15" s="36" t="n">
        <v>4.1</v>
      </c>
      <c r="D15" s="49" t="s">
        <v>873</v>
      </c>
      <c r="E15" s="36" t="n">
        <v>0.575</v>
      </c>
      <c r="F15" s="36" t="n">
        <v>1.75</v>
      </c>
      <c r="G15" s="27" t="s">
        <v>877</v>
      </c>
    </row>
    <row r="16" customFormat="false" ht="32.8" hidden="false" customHeight="false" outlineLevel="0" collapsed="false">
      <c r="A16" s="8" t="s">
        <v>878</v>
      </c>
      <c r="B16" s="41" t="s">
        <v>879</v>
      </c>
      <c r="C16" s="36" t="n">
        <v>3</v>
      </c>
      <c r="D16" s="49" t="s">
        <v>873</v>
      </c>
      <c r="E16" s="36" t="n">
        <v>0.425</v>
      </c>
      <c r="F16" s="36" t="n">
        <v>1.4</v>
      </c>
      <c r="G16" s="27" t="s">
        <v>880</v>
      </c>
    </row>
    <row r="17" customFormat="false" ht="32.8" hidden="false" customHeight="false" outlineLevel="0" collapsed="false">
      <c r="A17" s="8" t="s">
        <v>881</v>
      </c>
      <c r="B17" s="41" t="s">
        <v>133</v>
      </c>
      <c r="C17" s="36" t="n">
        <v>3.5</v>
      </c>
      <c r="D17" s="49" t="s">
        <v>873</v>
      </c>
      <c r="E17" s="36" t="n">
        <v>0.5</v>
      </c>
      <c r="F17" s="62" t="s">
        <v>873</v>
      </c>
      <c r="G17" s="27" t="s">
        <v>882</v>
      </c>
    </row>
    <row r="18" customFormat="false" ht="22.35" hidden="false" customHeight="false" outlineLevel="0" collapsed="false">
      <c r="A18" s="8" t="s">
        <v>173</v>
      </c>
      <c r="B18" s="41" t="s">
        <v>133</v>
      </c>
      <c r="C18" s="36" t="n">
        <v>2.4</v>
      </c>
      <c r="D18" s="49" t="s">
        <v>873</v>
      </c>
      <c r="E18" s="36" t="n">
        <v>0.4</v>
      </c>
      <c r="F18" s="62" t="s">
        <v>873</v>
      </c>
      <c r="G18" s="27" t="s">
        <v>883</v>
      </c>
    </row>
    <row r="19" customFormat="false" ht="22.35" hidden="false" customHeight="true" outlineLevel="0" collapsed="false">
      <c r="A19" s="25" t="s">
        <v>884</v>
      </c>
      <c r="B19" s="25"/>
      <c r="C19" s="25"/>
      <c r="D19" s="25"/>
      <c r="E19" s="25"/>
      <c r="F19" s="25"/>
      <c r="G19" s="25"/>
    </row>
    <row r="21" customFormat="false" ht="15" hidden="false" customHeight="false" outlineLevel="0" collapsed="false">
      <c r="A21" s="6" t="s">
        <v>885</v>
      </c>
      <c r="B21" s="6"/>
      <c r="C21" s="6"/>
      <c r="D21" s="6"/>
      <c r="E21" s="6"/>
      <c r="F21" s="6"/>
      <c r="G21" s="6"/>
    </row>
    <row r="22" customFormat="false" ht="15" hidden="false" customHeight="false" outlineLevel="0" collapsed="false">
      <c r="A22" s="7" t="s">
        <v>886</v>
      </c>
      <c r="B22" s="11" t="s">
        <v>628</v>
      </c>
      <c r="C22" s="11" t="s">
        <v>629</v>
      </c>
      <c r="E22" s="7" t="s">
        <v>69</v>
      </c>
      <c r="F22" s="7"/>
      <c r="G22" s="7"/>
    </row>
    <row r="23" customFormat="false" ht="15" hidden="false" customHeight="false" outlineLevel="0" collapsed="false">
      <c r="A23" s="8" t="s">
        <v>887</v>
      </c>
      <c r="B23" s="53" t="n">
        <f aca="false">Market_Sizing!$D$12</f>
        <v>459</v>
      </c>
      <c r="C23" s="8" t="s">
        <v>373</v>
      </c>
      <c r="E23" s="63" t="s">
        <v>888</v>
      </c>
      <c r="F23" s="63"/>
      <c r="G23" s="63"/>
    </row>
    <row r="24" customFormat="false" ht="15" hidden="false" customHeight="false" outlineLevel="0" collapsed="false">
      <c r="A24" s="8" t="s">
        <v>889</v>
      </c>
      <c r="B24" s="49" t="n">
        <f aca="false">B23*0.25</f>
        <v>114.75</v>
      </c>
      <c r="C24" s="8" t="s">
        <v>373</v>
      </c>
      <c r="E24" s="63" t="s">
        <v>890</v>
      </c>
      <c r="F24" s="63"/>
      <c r="G24" s="63"/>
    </row>
    <row r="25" customFormat="false" ht="15" hidden="false" customHeight="false" outlineLevel="0" collapsed="false">
      <c r="A25" s="8" t="s">
        <v>891</v>
      </c>
      <c r="B25" s="53" t="n">
        <f aca="false">Market_Sizing!$D$48</f>
        <v>362.9053125</v>
      </c>
      <c r="C25" s="8" t="s">
        <v>373</v>
      </c>
      <c r="E25" s="63" t="s">
        <v>892</v>
      </c>
      <c r="F25" s="63"/>
      <c r="G25" s="63"/>
    </row>
    <row r="26" customFormat="false" ht="15" hidden="false" customHeight="false" outlineLevel="0" collapsed="false">
      <c r="A26" s="8" t="s">
        <v>893</v>
      </c>
      <c r="B26" s="49" t="n">
        <f aca="false">B25*Assumptions!$B$78</f>
        <v>39.919584375</v>
      </c>
      <c r="C26" s="8" t="s">
        <v>373</v>
      </c>
      <c r="E26" s="63" t="s">
        <v>894</v>
      </c>
      <c r="F26" s="63"/>
      <c r="G26" s="63"/>
    </row>
    <row r="27" customFormat="false" ht="15" hidden="false" customHeight="false" outlineLevel="0" collapsed="false">
      <c r="A27" s="8" t="s">
        <v>895</v>
      </c>
      <c r="B27" s="65" t="n">
        <f aca="false">B24/B26</f>
        <v>2.87452892600413</v>
      </c>
      <c r="C27" s="8" t="s">
        <v>98</v>
      </c>
      <c r="E27" s="63" t="s">
        <v>896</v>
      </c>
      <c r="F27" s="63"/>
      <c r="G27" s="63"/>
    </row>
    <row r="28" customFormat="false" ht="63.75" hidden="false" customHeight="true" outlineLevel="0" collapsed="false">
      <c r="A28" s="25" t="s">
        <v>897</v>
      </c>
      <c r="B28" s="25"/>
      <c r="C28" s="25"/>
      <c r="D28" s="25"/>
      <c r="E28" s="25"/>
      <c r="F28" s="25"/>
      <c r="G28" s="25"/>
    </row>
  </sheetData>
  <mergeCells count="18">
    <mergeCell ref="A1:G1"/>
    <mergeCell ref="A2:G2"/>
    <mergeCell ref="A4:G4"/>
    <mergeCell ref="F5:G5"/>
    <mergeCell ref="F6:G6"/>
    <mergeCell ref="F7:G7"/>
    <mergeCell ref="F8:G8"/>
    <mergeCell ref="F9:G9"/>
    <mergeCell ref="A12:G12"/>
    <mergeCell ref="A19:G19"/>
    <mergeCell ref="A21:G21"/>
    <mergeCell ref="E22:G22"/>
    <mergeCell ref="E23:G23"/>
    <mergeCell ref="E24:G24"/>
    <mergeCell ref="E25:G25"/>
    <mergeCell ref="E26:G26"/>
    <mergeCell ref="E27:G27"/>
    <mergeCell ref="A28:G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40"/>
    <col collapsed="false" customWidth="true" hidden="false" outlineLevel="0" max="6" min="6" style="0" width="14"/>
  </cols>
  <sheetData>
    <row r="1" customFormat="false" ht="25.5" hidden="false" customHeight="true" outlineLevel="0" collapsed="false">
      <c r="A1" s="9" t="s">
        <v>38</v>
      </c>
      <c r="B1" s="9"/>
      <c r="C1" s="9"/>
      <c r="D1" s="9"/>
      <c r="E1" s="9"/>
      <c r="F1" s="9"/>
    </row>
    <row r="2" customFormat="false" ht="15" hidden="false" customHeight="false" outlineLevel="0" collapsed="false">
      <c r="A2" s="10" t="s">
        <v>898</v>
      </c>
      <c r="B2" s="10"/>
      <c r="C2" s="10"/>
      <c r="D2" s="10"/>
      <c r="E2" s="10"/>
      <c r="F2" s="10"/>
    </row>
    <row r="4" customFormat="false" ht="15" hidden="false" customHeight="false" outlineLevel="0" collapsed="false">
      <c r="A4" s="6" t="s">
        <v>899</v>
      </c>
      <c r="B4" s="6"/>
      <c r="C4" s="6"/>
      <c r="D4" s="6"/>
      <c r="E4" s="6"/>
      <c r="F4" s="6"/>
    </row>
    <row r="5" customFormat="false" ht="15" hidden="false" customHeight="false" outlineLevel="0" collapsed="false">
      <c r="A5" s="11" t="s">
        <v>900</v>
      </c>
      <c r="B5" s="7" t="s">
        <v>901</v>
      </c>
      <c r="C5" s="7" t="s">
        <v>902</v>
      </c>
      <c r="D5" s="7" t="s">
        <v>903</v>
      </c>
      <c r="E5" s="7" t="s">
        <v>904</v>
      </c>
      <c r="F5" s="11" t="s">
        <v>18</v>
      </c>
    </row>
    <row r="6" customFormat="false" ht="45.75" hidden="false" customHeight="true" outlineLevel="0" collapsed="false">
      <c r="A6" s="14" t="n">
        <v>1</v>
      </c>
      <c r="B6" s="4" t="s">
        <v>905</v>
      </c>
      <c r="C6" s="5" t="s">
        <v>906</v>
      </c>
      <c r="D6" s="27" t="s">
        <v>907</v>
      </c>
      <c r="E6" s="5" t="s">
        <v>908</v>
      </c>
      <c r="F6" s="22" t="s">
        <v>26</v>
      </c>
    </row>
    <row r="7" customFormat="false" ht="45.75" hidden="false" customHeight="true" outlineLevel="0" collapsed="false">
      <c r="A7" s="14" t="n">
        <v>2</v>
      </c>
      <c r="B7" s="4" t="s">
        <v>909</v>
      </c>
      <c r="C7" s="5" t="s">
        <v>910</v>
      </c>
      <c r="D7" s="27" t="s">
        <v>911</v>
      </c>
      <c r="E7" s="5" t="s">
        <v>912</v>
      </c>
      <c r="F7" s="22" t="s">
        <v>24</v>
      </c>
    </row>
    <row r="8" customFormat="false" ht="45.75" hidden="false" customHeight="true" outlineLevel="0" collapsed="false">
      <c r="A8" s="14" t="n">
        <v>3</v>
      </c>
      <c r="B8" s="4" t="s">
        <v>913</v>
      </c>
      <c r="C8" s="5" t="s">
        <v>914</v>
      </c>
      <c r="D8" s="27" t="s">
        <v>915</v>
      </c>
      <c r="E8" s="5" t="s">
        <v>916</v>
      </c>
      <c r="F8" s="22" t="s">
        <v>917</v>
      </c>
    </row>
    <row r="9" customFormat="false" ht="45.75" hidden="false" customHeight="true" outlineLevel="0" collapsed="false">
      <c r="A9" s="14" t="n">
        <v>4</v>
      </c>
      <c r="B9" s="4" t="s">
        <v>918</v>
      </c>
      <c r="C9" s="5" t="s">
        <v>919</v>
      </c>
      <c r="D9" s="27" t="s">
        <v>920</v>
      </c>
      <c r="E9" s="5" t="s">
        <v>921</v>
      </c>
      <c r="F9" s="22" t="s">
        <v>28</v>
      </c>
    </row>
    <row r="10" customFormat="false" ht="45.75" hidden="false" customHeight="true" outlineLevel="0" collapsed="false">
      <c r="A10" s="14" t="n">
        <v>5</v>
      </c>
      <c r="B10" s="4" t="s">
        <v>922</v>
      </c>
      <c r="C10" s="5" t="s">
        <v>923</v>
      </c>
      <c r="D10" s="27" t="s">
        <v>924</v>
      </c>
      <c r="E10" s="5" t="s">
        <v>925</v>
      </c>
      <c r="F10" s="22" t="s">
        <v>926</v>
      </c>
    </row>
    <row r="11" customFormat="false" ht="45.75" hidden="false" customHeight="true" outlineLevel="0" collapsed="false">
      <c r="A11" s="14" t="n">
        <v>6</v>
      </c>
      <c r="B11" s="4" t="s">
        <v>927</v>
      </c>
      <c r="C11" s="5" t="s">
        <v>928</v>
      </c>
      <c r="D11" s="27" t="s">
        <v>929</v>
      </c>
      <c r="E11" s="5" t="s">
        <v>930</v>
      </c>
      <c r="F11" s="22" t="s">
        <v>33</v>
      </c>
    </row>
    <row r="12" customFormat="false" ht="45.75" hidden="false" customHeight="true" outlineLevel="0" collapsed="false">
      <c r="A12" s="14" t="n">
        <v>7</v>
      </c>
      <c r="B12" s="4" t="s">
        <v>931</v>
      </c>
      <c r="C12" s="5" t="s">
        <v>932</v>
      </c>
      <c r="D12" s="27" t="s">
        <v>933</v>
      </c>
      <c r="E12" s="5" t="s">
        <v>934</v>
      </c>
      <c r="F12" s="22" t="s">
        <v>33</v>
      </c>
    </row>
    <row r="13" customFormat="false" ht="45.75" hidden="false" customHeight="true" outlineLevel="0" collapsed="false">
      <c r="A13" s="14" t="n">
        <v>8</v>
      </c>
      <c r="B13" s="4" t="s">
        <v>935</v>
      </c>
      <c r="C13" s="5" t="s">
        <v>936</v>
      </c>
      <c r="D13" s="27" t="s">
        <v>937</v>
      </c>
      <c r="E13" s="5" t="s">
        <v>938</v>
      </c>
      <c r="F13" s="22" t="s">
        <v>939</v>
      </c>
    </row>
    <row r="14" customFormat="false" ht="45.75" hidden="false" customHeight="true" outlineLevel="0" collapsed="false">
      <c r="A14" s="14" t="n">
        <v>9</v>
      </c>
      <c r="B14" s="4" t="s">
        <v>940</v>
      </c>
      <c r="C14" s="5" t="s">
        <v>941</v>
      </c>
      <c r="D14" s="27" t="s">
        <v>942</v>
      </c>
      <c r="E14" s="5" t="s">
        <v>943</v>
      </c>
      <c r="F14" s="22" t="s">
        <v>35</v>
      </c>
    </row>
    <row r="15" customFormat="false" ht="45.75" hidden="false" customHeight="true" outlineLevel="0" collapsed="false">
      <c r="A15" s="14" t="n">
        <v>10</v>
      </c>
      <c r="B15" s="4" t="s">
        <v>944</v>
      </c>
      <c r="C15" s="5" t="s">
        <v>945</v>
      </c>
      <c r="D15" s="27" t="s">
        <v>946</v>
      </c>
      <c r="E15" s="5" t="s">
        <v>947</v>
      </c>
      <c r="F15" s="22" t="s">
        <v>33</v>
      </c>
    </row>
    <row r="17" customFormat="false" ht="15" hidden="false" customHeight="false" outlineLevel="0" collapsed="false">
      <c r="A17" s="6" t="s">
        <v>948</v>
      </c>
      <c r="B17" s="6"/>
      <c r="C17" s="6"/>
      <c r="D17" s="6"/>
      <c r="E17" s="6"/>
      <c r="F17" s="6"/>
    </row>
    <row r="18" customFormat="false" ht="15" hidden="false" customHeight="false" outlineLevel="0" collapsed="false">
      <c r="A18" s="11" t="s">
        <v>900</v>
      </c>
      <c r="B18" s="7" t="s">
        <v>949</v>
      </c>
      <c r="C18" s="7" t="s">
        <v>950</v>
      </c>
      <c r="D18" s="7" t="s">
        <v>951</v>
      </c>
      <c r="E18" s="7" t="s">
        <v>952</v>
      </c>
      <c r="F18" s="11" t="s">
        <v>953</v>
      </c>
    </row>
    <row r="19" customFormat="false" ht="51.75" hidden="false" customHeight="true" outlineLevel="0" collapsed="false">
      <c r="A19" s="14" t="n">
        <v>1</v>
      </c>
      <c r="B19" s="4" t="s">
        <v>954</v>
      </c>
      <c r="C19" s="5" t="s">
        <v>955</v>
      </c>
      <c r="D19" s="27" t="s">
        <v>956</v>
      </c>
      <c r="E19" s="5" t="s">
        <v>957</v>
      </c>
      <c r="F19" s="22" t="s">
        <v>958</v>
      </c>
    </row>
    <row r="20" customFormat="false" ht="51.75" hidden="false" customHeight="true" outlineLevel="0" collapsed="false">
      <c r="A20" s="14" t="n">
        <v>2</v>
      </c>
      <c r="B20" s="4" t="s">
        <v>959</v>
      </c>
      <c r="C20" s="5" t="s">
        <v>960</v>
      </c>
      <c r="D20" s="27" t="s">
        <v>961</v>
      </c>
      <c r="E20" s="5" t="s">
        <v>962</v>
      </c>
      <c r="F20" s="22" t="s">
        <v>963</v>
      </c>
    </row>
    <row r="21" customFormat="false" ht="51.75" hidden="false" customHeight="true" outlineLevel="0" collapsed="false">
      <c r="A21" s="14" t="n">
        <v>3</v>
      </c>
      <c r="B21" s="4" t="s">
        <v>964</v>
      </c>
      <c r="C21" s="5" t="s">
        <v>965</v>
      </c>
      <c r="D21" s="27" t="s">
        <v>966</v>
      </c>
      <c r="E21" s="5" t="s">
        <v>967</v>
      </c>
      <c r="F21" s="22" t="s">
        <v>968</v>
      </c>
    </row>
    <row r="22" customFormat="false" ht="51.75" hidden="false" customHeight="true" outlineLevel="0" collapsed="false">
      <c r="A22" s="14" t="n">
        <v>4</v>
      </c>
      <c r="B22" s="4" t="s">
        <v>969</v>
      </c>
      <c r="C22" s="5" t="s">
        <v>970</v>
      </c>
      <c r="D22" s="27" t="s">
        <v>971</v>
      </c>
      <c r="E22" s="5" t="s">
        <v>972</v>
      </c>
      <c r="F22" s="22" t="s">
        <v>973</v>
      </c>
    </row>
    <row r="23" customFormat="false" ht="51.75" hidden="false" customHeight="true" outlineLevel="0" collapsed="false">
      <c r="A23" s="14" t="n">
        <v>5</v>
      </c>
      <c r="B23" s="4" t="s">
        <v>974</v>
      </c>
      <c r="C23" s="5" t="s">
        <v>975</v>
      </c>
      <c r="D23" s="27" t="s">
        <v>976</v>
      </c>
      <c r="E23" s="5" t="s">
        <v>977</v>
      </c>
      <c r="F23" s="22" t="s">
        <v>978</v>
      </c>
    </row>
    <row r="24" customFormat="false" ht="51.75" hidden="false" customHeight="true" outlineLevel="0" collapsed="false">
      <c r="A24" s="14" t="n">
        <v>6</v>
      </c>
      <c r="B24" s="4" t="s">
        <v>979</v>
      </c>
      <c r="C24" s="5" t="s">
        <v>980</v>
      </c>
      <c r="D24" s="27" t="s">
        <v>981</v>
      </c>
      <c r="E24" s="5" t="s">
        <v>982</v>
      </c>
      <c r="F24" s="22" t="s">
        <v>983</v>
      </c>
    </row>
    <row r="25" customFormat="false" ht="51.75" hidden="false" customHeight="true" outlineLevel="0" collapsed="false">
      <c r="A25" s="14" t="n">
        <v>7</v>
      </c>
      <c r="B25" s="4" t="s">
        <v>984</v>
      </c>
      <c r="C25" s="5" t="s">
        <v>985</v>
      </c>
      <c r="D25" s="27" t="s">
        <v>986</v>
      </c>
      <c r="E25" s="5" t="s">
        <v>987</v>
      </c>
      <c r="F25" s="22" t="s">
        <v>988</v>
      </c>
    </row>
    <row r="26" customFormat="false" ht="51.75" hidden="false" customHeight="true" outlineLevel="0" collapsed="false">
      <c r="A26" s="14" t="n">
        <v>8</v>
      </c>
      <c r="B26" s="4" t="s">
        <v>989</v>
      </c>
      <c r="C26" s="5" t="s">
        <v>990</v>
      </c>
      <c r="D26" s="27" t="s">
        <v>991</v>
      </c>
      <c r="E26" s="5" t="s">
        <v>992</v>
      </c>
      <c r="F26" s="22" t="s">
        <v>993</v>
      </c>
    </row>
    <row r="27" customFormat="false" ht="51.75" hidden="false" customHeight="true" outlineLevel="0" collapsed="false">
      <c r="A27" s="14" t="n">
        <v>9</v>
      </c>
      <c r="B27" s="4" t="s">
        <v>994</v>
      </c>
      <c r="C27" s="5" t="s">
        <v>995</v>
      </c>
      <c r="D27" s="27" t="s">
        <v>996</v>
      </c>
      <c r="E27" s="5" t="s">
        <v>997</v>
      </c>
      <c r="F27" s="22" t="s">
        <v>983</v>
      </c>
    </row>
    <row r="29" customFormat="false" ht="43.5" hidden="false" customHeight="true" outlineLevel="0" collapsed="false">
      <c r="A29" s="25" t="s">
        <v>998</v>
      </c>
      <c r="B29" s="25"/>
      <c r="C29" s="25"/>
      <c r="D29" s="25"/>
      <c r="E29" s="25"/>
      <c r="F29" s="25"/>
    </row>
  </sheetData>
  <mergeCells count="5">
    <mergeCell ref="A1:F1"/>
    <mergeCell ref="A2:F2"/>
    <mergeCell ref="A4:F4"/>
    <mergeCell ref="A17:F17"/>
    <mergeCell ref="A29:F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2026-06-18T12:51:35Z</dcterms:created>
  <dc:creator>openpyxl</dc:creator>
  <dc:description/>
  <dc:language>en-US</dc:language>
  <cp:lastModifiedBy/>
  <dcterms:modified xsi:type="dcterms:W3CDTF">2026-06-18T12:51:35Z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