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umptions" sheetId="1" state="visible" r:id="rId1"/>
    <sheet xmlns:r="http://schemas.openxmlformats.org/officeDocument/2006/relationships" name="Historical_Sizing" sheetId="2" state="visible" r:id="rId2"/>
    <sheet xmlns:r="http://schemas.openxmlformats.org/officeDocument/2006/relationships" name="Forecast_FY26_30" sheetId="3" state="visible" r:id="rId3"/>
    <sheet xmlns:r="http://schemas.openxmlformats.org/officeDocument/2006/relationships" name="Transition_Scenario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4">
    <numFmt numFmtId="164" formatCode="0.0000"/>
    <numFmt numFmtId="165" formatCode="0.0%"/>
    <numFmt numFmtId="166" formatCode="0.000"/>
    <numFmt numFmtId="167" formatCode="#,##0.0"/>
    <numFmt numFmtId="168" formatCode="#,##0.0&quot;  US$M&quot;"/>
    <numFmt numFmtId="169" formatCode="#,##0.0&quot;  NZ$M&quot;"/>
    <numFmt numFmtId="170" formatCode="+0.0%;-0.0%"/>
    <numFmt numFmtId="171" formatCode="+#,##0.0;-#,##0.0"/>
    <numFmt numFmtId="172" formatCode="+0.0%;-0.0%;0.0%"/>
    <numFmt numFmtId="173" formatCode="+0%;-0%"/>
    <numFmt numFmtId="174" formatCode="+0;-0"/>
    <numFmt numFmtId="175" formatCode="+0.0;-0.0"/>
    <numFmt numFmtId="176" formatCode="mmm-yyyy"/>
    <numFmt numFmtId="177" formatCode="+0.0;-0.0;0"/>
    <numFmt numFmtId="178" formatCode="+0.00;-0.00"/>
    <numFmt numFmtId="179" formatCode="0.00&quot;  M hens&quot;"/>
    <numFmt numFmtId="180" formatCode="0%&quot; of flock&quot;"/>
    <numFmt numFmtId="181" formatCode="#,##0&quot;k birds&quot;"/>
    <numFmt numFmtId="182" formatCode="0%&quot; of cohort&quot;"/>
    <numFmt numFmtId="183" formatCode="0.0&quot;-&quot;"/>
    <numFmt numFmtId="184" formatCode="0.0&quot;  NZ$M&quot;"/>
    <numFmt numFmtId="185" formatCode="0.0&quot;  NZ$M/yr&quot;"/>
    <numFmt numFmtId="186" formatCode="0.0&quot;  US$M/yr&quot;"/>
    <numFmt numFmtId="187" formatCode="#,##0&quot;  US$M&quot;"/>
  </numFmts>
  <fonts count="12">
    <font>
      <name val="Calibri"/>
      <family val="2"/>
      <color theme="1"/>
      <sz val="11"/>
      <scheme val="minor"/>
    </font>
    <font>
      <name val="Calibri"/>
      <b val="1"/>
      <color rgb="FF1F3864"/>
      <sz val="14"/>
    </font>
    <font>
      <name val="Calibri"/>
      <color rgb="FF262626"/>
      <sz val="10"/>
    </font>
    <font>
      <name val="Calibri"/>
      <i val="1"/>
      <color rgb="FF7F7F7F"/>
      <sz val="9"/>
    </font>
    <font>
      <name val="Calibri"/>
      <b val="1"/>
      <color rgb="FFFFFFFF"/>
      <sz val="11"/>
    </font>
    <font>
      <name val="Calibri"/>
      <color rgb="FF0000CC"/>
      <sz val="10"/>
    </font>
    <font>
      <name val="Calibri"/>
      <b val="1"/>
      <color rgb="FF262626"/>
      <sz val="10"/>
    </font>
    <font>
      <name val="Calibri"/>
      <color rgb="FF000000"/>
      <sz val="10"/>
    </font>
    <font>
      <name val="Calibri"/>
      <color rgb="FF008000"/>
      <sz val="10"/>
    </font>
    <font>
      <name val="Calibri"/>
      <b val="1"/>
      <color rgb="FFFFFFFF"/>
      <sz val="10"/>
    </font>
    <font>
      <name val="Calibri"/>
      <b val="1"/>
      <color rgb="FF9C0006"/>
      <sz val="9"/>
    </font>
    <font>
      <name val="Calibri"/>
      <b val="1"/>
      <color rgb="FF1F3864"/>
      <sz val="10"/>
    </font>
  </fonts>
  <fills count="8">
    <fill>
      <patternFill/>
    </fill>
    <fill>
      <patternFill patternType="gray125"/>
    </fill>
    <fill>
      <patternFill patternType="solid">
        <fgColor rgb="FF44546A"/>
      </patternFill>
    </fill>
    <fill>
      <patternFill patternType="solid">
        <fgColor rgb="FFDCE9F7"/>
      </patternFill>
    </fill>
    <fill>
      <patternFill patternType="solid">
        <fgColor rgb="FF1F386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D9E2F3"/>
      </patternFill>
    </fill>
  </fills>
  <borders count="2">
    <border>
      <left/>
      <right/>
      <top/>
      <bottom/>
      <diagonal/>
    </border>
    <border>
      <bottom style="thin">
        <color rgb="FFBFBFBF"/>
      </bottom>
    </border>
  </borders>
  <cellStyleXfs count="1">
    <xf numFmtId="0" fontId="0" fillId="0" borderId="0"/>
  </cellStyleXfs>
  <cellXfs count="6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pivotButton="0" quotePrefix="0" xfId="0"/>
    <xf numFmtId="0" fontId="6" fillId="0" borderId="0" pivotButton="0" quotePrefix="0" xfId="0"/>
    <xf numFmtId="2" fontId="5" fillId="3" borderId="0" applyAlignment="1" pivotButton="0" quotePrefix="0" xfId="0">
      <alignment horizontal="center" vertical="center"/>
    </xf>
    <xf numFmtId="3" fontId="7" fillId="0" borderId="0" applyAlignment="1" pivotButton="0" quotePrefix="0" xfId="0">
      <alignment horizontal="center" vertical="center"/>
    </xf>
    <xf numFmtId="2" fontId="8" fillId="0" borderId="0" applyAlignment="1" pivotButton="0" quotePrefix="0" xfId="0">
      <alignment horizontal="center" vertical="center"/>
    </xf>
    <xf numFmtId="3" fontId="9" fillId="4" borderId="0" applyAlignment="1" pivotButton="0" quotePrefix="0" xfId="0">
      <alignment horizontal="center" vertical="center"/>
    </xf>
    <xf numFmtId="0" fontId="10" fillId="5" borderId="0" applyAlignment="1" pivotButton="0" quotePrefix="0" xfId="0">
      <alignment vertical="top" wrapText="1"/>
    </xf>
    <xf numFmtId="0" fontId="6" fillId="6" borderId="1" pivotButton="0" quotePrefix="0" xfId="0"/>
    <xf numFmtId="0" fontId="6" fillId="6" borderId="1" applyAlignment="1" pivotButton="0" quotePrefix="0" xfId="0">
      <alignment horizontal="center" vertical="center"/>
    </xf>
    <xf numFmtId="0" fontId="3" fillId="0" borderId="0" pivotButton="0" quotePrefix="0" xfId="0"/>
    <xf numFmtId="0" fontId="2" fillId="0" borderId="0" pivotButton="0" quotePrefix="0" xfId="0"/>
    <xf numFmtId="164" fontId="5" fillId="3" borderId="0" applyAlignment="1" pivotButton="0" quotePrefix="0" xfId="0">
      <alignment horizontal="center" vertical="center"/>
    </xf>
    <xf numFmtId="165" fontId="5" fillId="3" borderId="0" applyAlignment="1" pivotButton="0" quotePrefix="0" xfId="0">
      <alignment horizontal="center" vertical="center"/>
    </xf>
    <xf numFmtId="166" fontId="5" fillId="3" borderId="0" applyAlignment="1" pivotButton="0" quotePrefix="0" xfId="0">
      <alignment horizontal="center" vertical="center"/>
    </xf>
    <xf numFmtId="3" fontId="5" fillId="3" borderId="0" applyAlignment="1" pivotButton="0" quotePrefix="0" xfId="0">
      <alignment horizontal="center" vertical="center"/>
    </xf>
    <xf numFmtId="9" fontId="5" fillId="3" borderId="0" applyAlignment="1" pivotButton="0" quotePrefix="0" xfId="0">
      <alignment horizontal="center" vertical="center"/>
    </xf>
    <xf numFmtId="4" fontId="5" fillId="3" borderId="0" applyAlignment="1" pivotButton="0" quotePrefix="0" xfId="0">
      <alignment horizontal="center" vertical="center"/>
    </xf>
    <xf numFmtId="167" fontId="5" fillId="3" borderId="0" applyAlignment="1" pivotButton="0" quotePrefix="0" xfId="0">
      <alignment horizontal="center" vertical="center"/>
    </xf>
    <xf numFmtId="168" fontId="9" fillId="4" borderId="0" applyAlignment="1" pivotButton="0" quotePrefix="0" xfId="0">
      <alignment horizontal="center" vertical="center"/>
    </xf>
    <xf numFmtId="169" fontId="9" fillId="4" borderId="0" applyAlignment="1" pivotButton="0" quotePrefix="0" xfId="0">
      <alignment horizontal="center" vertical="center"/>
    </xf>
    <xf numFmtId="170" fontId="9" fillId="4" borderId="0" applyAlignment="1" pivotButton="0" quotePrefix="0" xfId="0">
      <alignment horizontal="center" vertical="center"/>
    </xf>
    <xf numFmtId="9" fontId="9" fillId="4" borderId="0" applyAlignment="1" pivotButton="0" quotePrefix="0" xfId="0">
      <alignment horizontal="center" vertical="center"/>
    </xf>
    <xf numFmtId="166" fontId="8" fillId="0" borderId="0" applyAlignment="1" pivotButton="0" quotePrefix="0" xfId="0">
      <alignment horizontal="center" vertical="center"/>
    </xf>
    <xf numFmtId="3" fontId="8" fillId="0" borderId="0" applyAlignment="1" pivotButton="0" quotePrefix="0" xfId="0">
      <alignment horizontal="center" vertical="center"/>
    </xf>
    <xf numFmtId="166" fontId="7" fillId="0" borderId="0" applyAlignment="1" pivotButton="0" quotePrefix="0" xfId="0">
      <alignment horizontal="center" vertical="center"/>
    </xf>
    <xf numFmtId="167" fontId="8" fillId="0" borderId="0" applyAlignment="1" pivotButton="0" quotePrefix="0" xfId="0">
      <alignment horizontal="center" vertical="center"/>
    </xf>
    <xf numFmtId="167" fontId="7" fillId="0" borderId="0" applyAlignment="1" pivotButton="0" quotePrefix="0" xfId="0">
      <alignment horizontal="center" vertical="center"/>
    </xf>
    <xf numFmtId="165" fontId="7" fillId="0" borderId="0" applyAlignment="1" pivotButton="0" quotePrefix="0" xfId="0">
      <alignment horizontal="center" vertical="center"/>
    </xf>
    <xf numFmtId="164" fontId="8" fillId="0" borderId="0" applyAlignment="1" pivotButton="0" quotePrefix="0" xfId="0">
      <alignment horizontal="center" vertical="center"/>
    </xf>
    <xf numFmtId="9" fontId="8" fillId="0" borderId="0" applyAlignment="1" pivotButton="0" quotePrefix="0" xfId="0">
      <alignment horizontal="center" vertical="center"/>
    </xf>
    <xf numFmtId="165" fontId="9" fillId="4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165" fontId="8" fillId="0" borderId="0" applyAlignment="1" pivotButton="0" quotePrefix="0" xfId="0">
      <alignment horizontal="center" vertical="center"/>
    </xf>
    <xf numFmtId="9" fontId="7" fillId="0" borderId="0" applyAlignment="1" pivotButton="0" quotePrefix="0" xfId="0">
      <alignment horizontal="center" vertical="center"/>
    </xf>
    <xf numFmtId="2" fontId="7" fillId="0" borderId="0" applyAlignment="1" pivotButton="0" quotePrefix="0" xfId="0">
      <alignment horizontal="center" vertical="center"/>
    </xf>
    <xf numFmtId="0" fontId="9" fillId="4" borderId="0" applyAlignment="1" pivotButton="0" quotePrefix="0" xfId="0">
      <alignment horizontal="center" vertical="center"/>
    </xf>
    <xf numFmtId="10" fontId="9" fillId="4" borderId="0" applyAlignment="1" pivotButton="0" quotePrefix="0" xfId="0">
      <alignment horizontal="center" vertical="center"/>
    </xf>
    <xf numFmtId="0" fontId="11" fillId="7" borderId="0" pivotButton="0" quotePrefix="0" xfId="0"/>
    <xf numFmtId="170" fontId="7" fillId="0" borderId="0" applyAlignment="1" pivotButton="0" quotePrefix="0" xfId="0">
      <alignment horizontal="center" vertical="center"/>
    </xf>
    <xf numFmtId="171" fontId="8" fillId="0" borderId="0" applyAlignment="1" pivotButton="0" quotePrefix="0" xfId="0">
      <alignment horizontal="center" vertical="center"/>
    </xf>
    <xf numFmtId="179" fontId="9" fillId="4" borderId="0" applyAlignment="1" pivotButton="0" quotePrefix="0" xfId="0">
      <alignment horizontal="center" vertical="center"/>
    </xf>
    <xf numFmtId="180" fontId="9" fillId="4" borderId="0" applyAlignment="1" pivotButton="0" quotePrefix="0" xfId="0">
      <alignment horizontal="center" vertical="center"/>
    </xf>
    <xf numFmtId="181" fontId="9" fillId="4" borderId="0" applyAlignment="1" pivotButton="0" quotePrefix="0" xfId="0">
      <alignment horizontal="center" vertical="center"/>
    </xf>
    <xf numFmtId="182" fontId="9" fillId="4" borderId="0" applyAlignment="1" pivotButton="0" quotePrefix="0" xfId="0">
      <alignment horizontal="center" vertical="center"/>
    </xf>
    <xf numFmtId="183" fontId="9" fillId="4" borderId="0" applyAlignment="1" pivotButton="0" quotePrefix="0" xfId="0">
      <alignment horizontal="center" vertical="center"/>
    </xf>
    <xf numFmtId="184" fontId="9" fillId="4" borderId="0" applyAlignment="1" pivotButton="0" quotePrefix="0" xfId="0">
      <alignment horizontal="center" vertical="center"/>
    </xf>
    <xf numFmtId="185" fontId="9" fillId="4" borderId="0" applyAlignment="1" pivotButton="0" quotePrefix="0" xfId="0">
      <alignment horizontal="center" vertical="center"/>
    </xf>
    <xf numFmtId="186" fontId="9" fillId="4" borderId="0" applyAlignment="1" pivotButton="0" quotePrefix="0" xfId="0">
      <alignment horizontal="center" vertical="center"/>
    </xf>
    <xf numFmtId="187" fontId="9" fillId="4" borderId="0" applyAlignment="1" pivotButton="0" quotePrefix="0" xfId="0">
      <alignment horizontal="center" vertical="center"/>
    </xf>
    <xf numFmtId="0" fontId="6" fillId="6" borderId="1" applyAlignment="1" pivotButton="0" quotePrefix="0" xfId="0">
      <alignment vertical="top" wrapText="1"/>
    </xf>
    <xf numFmtId="172" fontId="8" fillId="0" borderId="0" applyAlignment="1" pivotButton="0" quotePrefix="0" xfId="0">
      <alignment horizontal="center" vertical="center"/>
    </xf>
    <xf numFmtId="172" fontId="7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173" fontId="8" fillId="0" borderId="0" applyAlignment="1" pivotButton="0" quotePrefix="0" xfId="0">
      <alignment horizontal="center" vertical="center"/>
    </xf>
    <xf numFmtId="174" fontId="7" fillId="0" borderId="0" applyAlignment="1" pivotButton="0" quotePrefix="0" xfId="0">
      <alignment horizontal="center" vertical="center"/>
    </xf>
    <xf numFmtId="175" fontId="7" fillId="0" borderId="0" applyAlignment="1" pivotButton="0" quotePrefix="0" xfId="0">
      <alignment horizontal="center" vertical="center"/>
    </xf>
    <xf numFmtId="176" fontId="7" fillId="0" borderId="0" applyAlignment="1" pivotButton="0" quotePrefix="0" xfId="0">
      <alignment horizontal="center" vertical="center"/>
    </xf>
    <xf numFmtId="177" fontId="7" fillId="0" borderId="0" applyAlignment="1" pivotButton="0" quotePrefix="0" xfId="0">
      <alignment horizontal="center" vertical="center"/>
    </xf>
    <xf numFmtId="176" fontId="8" fillId="0" borderId="0" applyAlignment="1" pivotButton="0" quotePrefix="0" xfId="0">
      <alignment horizontal="center" vertical="center"/>
    </xf>
    <xf numFmtId="177" fontId="8" fillId="0" borderId="0" applyAlignment="1" pivotButton="0" quotePrefix="0" xfId="0">
      <alignment horizontal="center" vertical="center"/>
    </xf>
    <xf numFmtId="170" fontId="8" fillId="0" borderId="0" applyAlignment="1" pivotButton="0" quotePrefix="0" xfId="0">
      <alignment horizontal="center" vertical="center"/>
    </xf>
    <xf numFmtId="178" fontId="8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4546A"/>
    <outlinePr summaryBelow="1" summaryRight="1"/>
    <pageSetUpPr/>
  </sheetPr>
  <dimension ref="A1:K21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46" customWidth="1" min="2" max="2"/>
    <col width="13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56" customWidth="1" min="9" max="9"/>
    <col width="19" customWidth="1" min="10" max="10"/>
    <col width="62" customWidth="1" min="11" max="11"/>
  </cols>
  <sheetData>
    <row r="1">
      <c r="A1" s="1" t="inlineStr">
        <is>
          <t>PROJECT ALBATROSS - NZ EGG MARKET MODEL</t>
        </is>
      </c>
    </row>
    <row r="2" ht="24" customHeight="1">
      <c r="A2" s="2" t="inlineStr">
        <is>
          <t>Tab 1 of 4 - Assumptions register (all hardcoded inputs live on this tab; every input carries source + vintage). Workbook = working document: refresh inputs here as diligence arrives; calculation tabs update automatically.</t>
        </is>
      </c>
    </row>
    <row r="3" ht="24" customHeight="1">
      <c r="A3" s="3" t="inlineStr">
        <is>
          <t>Halberd Capital Partners | Preliminary outside-in CDD (pre-LOI) | Model date: w/c 4 May 2026 | Prepared per Halberd Analytical Standards v3.8 + MP Slack guidance (22 Apr 2026). Headline currency USD per firm convention; NZD shown side-by-side. Pure assessment - findings, scenarios and open questions only; no recommendation (standards s.9.2).</t>
        </is>
      </c>
    </row>
    <row r="4"/>
    <row r="5">
      <c r="A5" s="4" t="inlineStr">
        <is>
          <t>LEGEND - WORKBOOK CELL-FORMATTING CONVENTION (applies to every tab; Halberd standards s.10)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</row>
    <row r="6">
      <c r="B6" s="5" t="inlineStr">
        <is>
          <t>Hardcoded input / assumption cell</t>
        </is>
      </c>
      <c r="D6" s="6" t="n">
        <v>1</v>
      </c>
      <c r="I6" s="3" t="inlineStr">
        <is>
          <t>Blue font on light-blue fill. The only cells a user should ever overtype. All live on this tab, each with source + vintage.</t>
        </is>
      </c>
    </row>
    <row r="7">
      <c r="B7" s="5" t="inlineStr">
        <is>
          <t>Calculation cell (same tab)</t>
        </is>
      </c>
      <c r="D7" s="7">
        <f>1+1</f>
        <v/>
      </c>
      <c r="I7" s="3" t="inlineStr">
        <is>
          <t>Black font, no fill. Formula referencing cells on the same tab. Do not overtype.</t>
        </is>
      </c>
    </row>
    <row r="8">
      <c r="B8" s="5" t="inlineStr">
        <is>
          <t>Cross-tab reference cell</t>
        </is>
      </c>
      <c r="D8" s="8">
        <f>$D$6</f>
        <v/>
      </c>
      <c r="I8" s="3" t="inlineStr">
        <is>
          <t>Green font, no fill. Formula referencing the Assumptions tab or another tab. Do not overtype.</t>
        </is>
      </c>
    </row>
    <row r="9">
      <c r="B9" s="5" t="inlineStr">
        <is>
          <t>Headline output / KPI cell</t>
        </is>
      </c>
      <c r="D9" s="9">
        <f>2*2</f>
        <v/>
      </c>
      <c r="I9" s="3" t="inlineStr">
        <is>
          <t>Bold white font on dark-navy fill. The figures quoted to IC; USD headline per firm convention.</t>
        </is>
      </c>
    </row>
    <row r="10">
      <c r="B10" s="5" t="inlineStr">
        <is>
          <t>Contested / superseded marker</t>
        </is>
      </c>
      <c r="D10" s="10" t="inlineStr">
        <is>
          <t>flag</t>
        </is>
      </c>
      <c r="I10" s="3" t="inlineStr">
        <is>
          <t>Dark-red on light-red. Not a data category - flags inputs that are contested across sources or superseded; see Supersession log below.</t>
        </is>
      </c>
    </row>
    <row r="11">
      <c r="B11" s="3" t="inlineStr">
        <is>
          <t>Labels (dark grey), section banners (white-on-slate), and grey-italic notes are furniture, not data cells. Convention is identical on every tab.</t>
        </is>
      </c>
    </row>
    <row r="12"/>
    <row r="13">
      <c r="A13" s="4" t="inlineStr">
        <is>
          <t>B.  MACRO / FX / DISCOUNTING  (all from halberd_central_financial_assumptions.xlsx - do not source FX externally)</t>
        </is>
      </c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</row>
    <row r="14">
      <c r="A14" s="11" t="inlineStr">
        <is>
          <t>Ref</t>
        </is>
      </c>
      <c r="B14" s="11" t="inlineStr">
        <is>
          <t>Parameter</t>
        </is>
      </c>
      <c r="C14" s="11" t="inlineStr">
        <is>
          <t>Unit</t>
        </is>
      </c>
      <c r="D14" s="12" t="inlineStr">
        <is>
          <t>Value</t>
        </is>
      </c>
      <c r="E14" s="12" t="inlineStr">
        <is>
          <t>Low</t>
        </is>
      </c>
      <c r="F14" s="12" t="inlineStr">
        <is>
          <t>High</t>
        </is>
      </c>
      <c r="G14" s="12" t="inlineStr"/>
      <c r="H14" s="12" t="inlineStr"/>
      <c r="I14" s="11" t="inlineStr">
        <is>
          <t>Source (file / section)</t>
        </is>
      </c>
      <c r="J14" s="11" t="inlineStr">
        <is>
          <t>Vintage</t>
        </is>
      </c>
      <c r="K14" s="11" t="inlineStr">
        <is>
          <t>Notes</t>
        </is>
      </c>
    </row>
    <row r="15">
      <c r="A15" s="13" t="inlineStr">
        <is>
          <t>A001</t>
        </is>
      </c>
      <c r="B15" s="2" t="inlineStr">
        <is>
          <t>NZD/USD - FY2022 (historical avg)</t>
        </is>
      </c>
      <c r="C15" s="14" t="inlineStr">
        <is>
          <t>USD per NZD</t>
        </is>
      </c>
      <c r="D15" s="15" t="n">
        <v>0.654</v>
      </c>
      <c r="I15" s="3" t="inlineStr">
        <is>
          <t>halberd_central_financial_assumptions.xlsx &gt; FX_Rates_Historical (row: NZD)</t>
        </is>
      </c>
      <c r="J15" s="3" t="inlineStr">
        <is>
          <t>Apr 2026 update</t>
        </is>
      </c>
      <c r="K15" s="3" t="inlineStr">
        <is>
          <t>Used only for Aurora FY22A side-by-side conversion.</t>
        </is>
      </c>
    </row>
    <row r="16">
      <c r="A16" s="13" t="inlineStr">
        <is>
          <t>A002</t>
        </is>
      </c>
      <c r="B16" s="2" t="inlineStr">
        <is>
          <t>NZD/USD - FY2023 (historical avg)</t>
        </is>
      </c>
      <c r="C16" s="14" t="inlineStr">
        <is>
          <t>USD per NZD</t>
        </is>
      </c>
      <c r="D16" s="15" t="n">
        <v>0.625</v>
      </c>
      <c r="I16" s="3" t="inlineStr">
        <is>
          <t>halberd_central_financial_assumptions.xlsx &gt; FX_Rates_Historical (row: NZD)</t>
        </is>
      </c>
      <c r="J16" s="3" t="inlineStr">
        <is>
          <t>Apr 2026 update</t>
        </is>
      </c>
      <c r="K16" s="3" t="inlineStr">
        <is>
          <t>FY-aligned rate per central-assumptions Notes tab (point-in-time work uses FY rate).</t>
        </is>
      </c>
    </row>
    <row r="17">
      <c r="A17" s="13" t="inlineStr">
        <is>
          <t>A003</t>
        </is>
      </c>
      <c r="B17" s="2" t="inlineStr">
        <is>
          <t>NZD/USD - FY2024 (historical avg)</t>
        </is>
      </c>
      <c r="C17" s="14" t="inlineStr">
        <is>
          <t>USD per NZD</t>
        </is>
      </c>
      <c r="D17" s="15" t="n">
        <v>0.602</v>
      </c>
      <c r="I17" s="3" t="inlineStr">
        <is>
          <t>halberd_central_financial_assumptions.xlsx &gt; FX_Rates_Historical (row: NZD)</t>
        </is>
      </c>
      <c r="J17" s="3" t="inlineStr">
        <is>
          <t>Apr 2026 update</t>
        </is>
      </c>
      <c r="K17" s="3" t="inlineStr"/>
    </row>
    <row r="18">
      <c r="A18" s="13" t="inlineStr">
        <is>
          <t>A004</t>
        </is>
      </c>
      <c r="B18" s="2" t="inlineStr">
        <is>
          <t>NZD/USD - FY2025 (historical avg)</t>
        </is>
      </c>
      <c r="C18" s="14" t="inlineStr">
        <is>
          <t>USD per NZD</t>
        </is>
      </c>
      <c r="D18" s="15" t="n">
        <v>0.585</v>
      </c>
      <c r="I18" s="3" t="inlineStr">
        <is>
          <t>halberd_central_financial_assumptions.xlsx &gt; FX_Rates_Historical (row: NZD)</t>
        </is>
      </c>
      <c r="J18" s="3" t="inlineStr">
        <is>
          <t>Apr 2026 update</t>
        </is>
      </c>
      <c r="K18" s="3" t="inlineStr"/>
    </row>
    <row r="19">
      <c r="A19" s="13" t="inlineStr">
        <is>
          <t>A005</t>
        </is>
      </c>
      <c r="B19" s="2" t="inlineStr">
        <is>
          <t>NZD/USD - FY2026 (house forecast)</t>
        </is>
      </c>
      <c r="C19" s="14" t="inlineStr">
        <is>
          <t>USD per NZD</t>
        </is>
      </c>
      <c r="D19" s="15" t="n">
        <v>0.595</v>
      </c>
      <c r="I19" s="3" t="inlineStr">
        <is>
          <t>halberd_central_financial_assumptions.xlsx &gt; FX_Rates_Forecast (row: NZD)</t>
        </is>
      </c>
      <c r="J19" s="3" t="inlineStr">
        <is>
          <t>Apr 2026 update</t>
        </is>
      </c>
      <c r="K19" s="3" t="inlineStr">
        <is>
          <t>Forecast rates applied by year for multi-year flows; no flat spot rate (standards s.7).</t>
        </is>
      </c>
    </row>
    <row r="20">
      <c r="A20" s="13" t="inlineStr">
        <is>
          <t>A006</t>
        </is>
      </c>
      <c r="B20" s="2" t="inlineStr">
        <is>
          <t>NZD/USD - FY2027 (house forecast)</t>
        </is>
      </c>
      <c r="C20" s="14" t="inlineStr">
        <is>
          <t>USD per NZD</t>
        </is>
      </c>
      <c r="D20" s="15" t="n">
        <v>0.61</v>
      </c>
      <c r="I20" s="3" t="inlineStr">
        <is>
          <t>halberd_central_financial_assumptions.xlsx &gt; FX_Rates_Forecast (row: NZD)</t>
        </is>
      </c>
      <c r="J20" s="3" t="inlineStr">
        <is>
          <t>Apr 2026 update</t>
        </is>
      </c>
      <c r="K20" s="3" t="inlineStr"/>
    </row>
    <row r="21">
      <c r="A21" s="13" t="inlineStr">
        <is>
          <t>A007</t>
        </is>
      </c>
      <c r="B21" s="2" t="inlineStr">
        <is>
          <t>NZD/USD - FY2028 (house forecast)</t>
        </is>
      </c>
      <c r="C21" s="14" t="inlineStr">
        <is>
          <t>USD per NZD</t>
        </is>
      </c>
      <c r="D21" s="15" t="n">
        <v>0.62</v>
      </c>
      <c r="I21" s="3" t="inlineStr">
        <is>
          <t>halberd_central_financial_assumptions.xlsx &gt; FX_Rates_Forecast (row: NZD)</t>
        </is>
      </c>
      <c r="J21" s="3" t="inlineStr">
        <is>
          <t>Apr 2026 update</t>
        </is>
      </c>
      <c r="K21" s="3" t="inlineStr">
        <is>
          <t>FX sensitivity low/high axis for FY28 set in section I.</t>
        </is>
      </c>
    </row>
    <row r="22">
      <c r="A22" s="13" t="inlineStr">
        <is>
          <t>A008</t>
        </is>
      </c>
      <c r="B22" s="2" t="inlineStr">
        <is>
          <t>NZD/USD - FY2029 (house forecast)</t>
        </is>
      </c>
      <c r="C22" s="14" t="inlineStr">
        <is>
          <t>USD per NZD</t>
        </is>
      </c>
      <c r="D22" s="15" t="n">
        <v>0.625</v>
      </c>
      <c r="I22" s="3" t="inlineStr">
        <is>
          <t>halberd_central_financial_assumptions.xlsx &gt; FX_Rates_Forecast (row: NZD)</t>
        </is>
      </c>
      <c r="J22" s="3" t="inlineStr">
        <is>
          <t>Apr 2026 update</t>
        </is>
      </c>
      <c r="K22" s="3" t="inlineStr"/>
    </row>
    <row r="23">
      <c r="A23" s="13" t="inlineStr">
        <is>
          <t>A009</t>
        </is>
      </c>
      <c r="B23" s="2" t="inlineStr">
        <is>
          <t>NZD/USD - FY2030 (house forecast)</t>
        </is>
      </c>
      <c r="C23" s="14" t="inlineStr">
        <is>
          <t>USD per NZD</t>
        </is>
      </c>
      <c r="D23" s="15" t="n">
        <v>0.625</v>
      </c>
      <c r="I23" s="3" t="inlineStr">
        <is>
          <t>halberd_central_financial_assumptions.xlsx &gt; FX_Rates_Forecast (row: NZD)</t>
        </is>
      </c>
      <c r="J23" s="3" t="inlineStr">
        <is>
          <t>Apr 2026 update</t>
        </is>
      </c>
      <c r="K23" s="3" t="inlineStr"/>
    </row>
    <row r="24">
      <c r="A24" s="13" t="inlineStr">
        <is>
          <t>A010</t>
        </is>
      </c>
      <c r="B24" s="2" t="inlineStr">
        <is>
          <t>NZ CPI forecast (annual, FY26 onward)</t>
        </is>
      </c>
      <c r="C24" s="14" t="inlineStr">
        <is>
          <t>% p.a.</t>
        </is>
      </c>
      <c r="D24" s="16" t="n">
        <v>0.027</v>
      </c>
      <c r="I24" s="3" t="inlineStr">
        <is>
          <t>halberd_central_financial_assumptions.xlsx &gt; Inflation_Forecast (New Zealand)</t>
        </is>
      </c>
      <c r="J24" s="3" t="inlineStr">
        <is>
          <t>Apr 2026 update</t>
        </is>
      </c>
      <c r="K24" s="3" t="inlineStr">
        <is>
          <t>Used for nominal price indexation context; commodity-gate inflation input set below (s.F).</t>
        </is>
      </c>
    </row>
    <row r="25">
      <c r="A25" s="13" t="inlineStr">
        <is>
          <t>A011</t>
        </is>
      </c>
      <c r="B25" s="2" t="inlineStr">
        <is>
          <t>NZ WACC (house view)</t>
        </is>
      </c>
      <c r="C25" s="14" t="inlineStr">
        <is>
          <t>% p.a.</t>
        </is>
      </c>
      <c r="D25" s="16" t="n">
        <v>0.105</v>
      </c>
      <c r="I25" s="3" t="inlineStr">
        <is>
          <t>halberd_central_financial_assumptions.xlsx &gt; WACC_by_Region (New Zealand)</t>
        </is>
      </c>
      <c r="J25" s="3" t="inlineStr">
        <is>
          <t>Apr 2026 update</t>
        </is>
      </c>
      <c r="K25" s="3" t="inlineStr">
        <is>
          <t>Carried for downstream valuation work; not applied inside this market model.</t>
        </is>
      </c>
    </row>
    <row r="26"/>
    <row r="27">
      <c r="A27" s="4" t="inlineStr">
        <is>
          <t>C.  DEMAND-SIDE INPUTS  (population x per-capita with dietary-mix drift - standards s.2.2; flat per-capita NOT permitted as central)</t>
        </is>
      </c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</row>
    <row r="28">
      <c r="A28" s="11" t="inlineStr">
        <is>
          <t>Ref</t>
        </is>
      </c>
      <c r="B28" s="11" t="inlineStr">
        <is>
          <t>Parameter</t>
        </is>
      </c>
      <c r="C28" s="11" t="inlineStr">
        <is>
          <t>Unit</t>
        </is>
      </c>
      <c r="D28" s="12" t="inlineStr">
        <is>
          <t>Value</t>
        </is>
      </c>
      <c r="E28" s="12" t="inlineStr">
        <is>
          <t>Low</t>
        </is>
      </c>
      <c r="F28" s="12" t="inlineStr">
        <is>
          <t>High</t>
        </is>
      </c>
      <c r="G28" s="12" t="inlineStr"/>
      <c r="H28" s="12" t="inlineStr"/>
      <c r="I28" s="11" t="inlineStr">
        <is>
          <t>Source (file / section)</t>
        </is>
      </c>
      <c r="J28" s="11" t="inlineStr">
        <is>
          <t>Vintage</t>
        </is>
      </c>
      <c r="K28" s="11" t="inlineStr">
        <is>
          <t>Notes</t>
        </is>
      </c>
    </row>
    <row r="29">
      <c r="A29" s="13" t="inlineStr">
        <is>
          <t>A012</t>
        </is>
      </c>
      <c r="B29" s="2" t="inlineStr">
        <is>
          <t>NZ population - FY2024 baseline</t>
        </is>
      </c>
      <c r="C29" s="14" t="inlineStr">
        <is>
          <t>M people</t>
        </is>
      </c>
      <c r="D29" s="17" t="n">
        <v>5.22</v>
      </c>
      <c r="I29" s="3" t="inlineStr">
        <is>
          <t>nz_treasury_demographics_analytical_note_2024.pdf (AN 24/08) as applied in industry_analyst_extract_nz_eggs_2025.pdf (top-down build) + deal-team Slack (Theo, 4 May)</t>
        </is>
      </c>
      <c r="J29" s="3" t="inlineStr">
        <is>
          <t>Sep 2024 (note); applied Q3 2025 / May 2026</t>
        </is>
      </c>
      <c r="K29" s="3" t="inlineStr">
        <is>
          <t>Treasury demographic baseline per standards s.2.2.</t>
        </is>
      </c>
    </row>
    <row r="30">
      <c r="A30" s="13" t="inlineStr">
        <is>
          <t>A013</t>
        </is>
      </c>
      <c r="B30" s="2" t="inlineStr">
        <is>
          <t>NZ population growth</t>
        </is>
      </c>
      <c r="C30" s="14" t="inlineStr">
        <is>
          <t>% p.a.</t>
        </is>
      </c>
      <c r="D30" s="16" t="n">
        <v>0.008999999999999999</v>
      </c>
      <c r="I30" s="3" t="inlineStr">
        <is>
          <t>Same as above (Treasury baseline ~0.9% p.a.)</t>
        </is>
      </c>
      <c r="J30" s="3" t="inlineStr">
        <is>
          <t>Sep 2024</t>
        </is>
      </c>
      <c r="K30" s="3" t="inlineStr">
        <is>
          <t>Net-migration-led; long-run OLG note shows migration dependency.</t>
        </is>
      </c>
    </row>
    <row r="31">
      <c r="A31" s="13" t="inlineStr">
        <is>
          <t>A014</t>
        </is>
      </c>
      <c r="B31" s="2" t="inlineStr">
        <is>
          <t>Per-capita consumption - FY2023</t>
        </is>
      </c>
      <c r="C31" s="14" t="inlineStr">
        <is>
          <t>eggs/person/yr</t>
        </is>
      </c>
      <c r="D31" s="18" t="n">
        <v>226</v>
      </c>
      <c r="I31" s="3" t="inlineStr">
        <is>
          <t>Deal-team estimate interpolated from EPFNZ trend (~220 in 2015 -&gt; 229 in 2025; transcript_nz_egg_association.pdf [00:05:24])</t>
        </is>
      </c>
      <c r="J31" s="3" t="inlineStr">
        <is>
          <t>Estimate, May 2026</t>
        </is>
      </c>
      <c r="K31" s="10" t="inlineStr">
        <is>
          <t>ESTIMATE - no published FY23 figure; refresh when EPF census updates (2027).</t>
        </is>
      </c>
    </row>
    <row r="32">
      <c r="A32" s="13" t="inlineStr">
        <is>
          <t>A015</t>
        </is>
      </c>
      <c r="B32" s="2" t="inlineStr">
        <is>
          <t>Per-capita consumption - FY2024 (actual)</t>
        </is>
      </c>
      <c r="C32" s="14" t="inlineStr">
        <is>
          <t>eggs/person/yr</t>
        </is>
      </c>
      <c r="D32" s="18" t="n">
        <v>227</v>
      </c>
      <c r="I32" s="3" t="inlineStr">
        <is>
          <t>nz_dietary_trends_survey_2025.pdf (ACII Wave 11) Table 3</t>
        </is>
      </c>
      <c r="J32" s="3" t="inlineStr">
        <is>
          <t>Feb 2026 (field Sep-Oct 2025)</t>
        </is>
      </c>
      <c r="K32" s="3" t="inlineStr">
        <is>
          <t>Current-vintage survey per standards s.2.2 (EPF stats page lags 2-4 yrs).</t>
        </is>
      </c>
    </row>
    <row r="33">
      <c r="A33" s="13" t="inlineStr">
        <is>
          <t>A016</t>
        </is>
      </c>
      <c r="B33" s="2" t="inlineStr">
        <is>
          <t>Per-capita consumption - FY2025 (actual)</t>
        </is>
      </c>
      <c r="C33" s="14" t="inlineStr">
        <is>
          <t>eggs/person/yr</t>
        </is>
      </c>
      <c r="D33" s="18" t="n">
        <v>229</v>
      </c>
      <c r="I33" s="3" t="inlineStr">
        <is>
          <t>ACII Wave 11 Table 3; matches EPFNZ public figure (229)</t>
        </is>
      </c>
      <c r="J33" s="3" t="inlineStr">
        <is>
          <t>Feb 2026</t>
        </is>
      </c>
      <c r="K33" s="3" t="inlineStr"/>
    </row>
    <row r="34">
      <c r="A34" s="13" t="inlineStr">
        <is>
          <t>A017</t>
        </is>
      </c>
      <c r="B34" s="2" t="inlineStr">
        <is>
          <t>Per-capita consumption - ACII central projection</t>
        </is>
      </c>
      <c r="C34" s="14" t="inlineStr">
        <is>
          <t>eggs/person/yr</t>
        </is>
      </c>
      <c r="D34" s="18" t="n">
        <v>230</v>
      </c>
      <c r="E34" s="18" t="n">
        <v>232</v>
      </c>
      <c r="F34" s="18" t="n">
        <v>233</v>
      </c>
      <c r="G34" s="18" t="n">
        <v>234</v>
      </c>
      <c r="H34" s="18" t="n">
        <v>235</v>
      </c>
      <c r="I34" s="3" t="inlineStr">
        <is>
          <t>ACII Wave 11 Table 3 (projected); equals population x dietary-mix drift +0.4-0.5% p.a.</t>
        </is>
      </c>
      <c r="J34" s="3" t="inlineStr">
        <is>
          <t>Feb 2026</t>
        </is>
      </c>
      <c r="K34" s="3" t="inlineStr">
        <is>
          <t>CENTRAL per-capita path. Drift decomposition: dietary-mix shift ~half + demographic-cuisine ~half (Calthorpe Part 5 [00:27:56]).</t>
        </is>
      </c>
    </row>
    <row r="35">
      <c r="A35" s="13" t="inlineStr">
        <is>
          <t>A018</t>
        </is>
      </c>
      <c r="B35" s="2" t="inlineStr">
        <is>
          <t>Per-capita - EPF flat (conservative case)</t>
        </is>
      </c>
      <c r="C35" s="14" t="inlineStr">
        <is>
          <t>eggs/person/yr</t>
        </is>
      </c>
      <c r="D35" s="18" t="n">
        <v>229</v>
      </c>
      <c r="I35" s="3" t="inlineStr">
        <is>
          <t>EPFNZ public stats page via transcript_nz_egg_association.pdf [00:05:24] + Slack (Iris, 4 May)</t>
        </is>
      </c>
      <c r="J35" s="3" t="inlineStr">
        <is>
          <t>Stats page lags 2-4 yrs (2025-era)</t>
        </is>
      </c>
      <c r="K35" s="10" t="inlineStr">
        <is>
          <t>CONSERVATIVE sensitivity only - association page is a lagging source (standards s.2.2); superseded as central by ACII.</t>
        </is>
      </c>
    </row>
    <row r="36">
      <c r="A36" s="13" t="inlineStr">
        <is>
          <t>A019</t>
        </is>
      </c>
      <c r="B36" s="2" t="inlineStr">
        <is>
          <t>Per-capita growth - broker / IM claim</t>
        </is>
      </c>
      <c r="C36" s="14" t="inlineStr">
        <is>
          <t>% p.a.</t>
        </is>
      </c>
      <c r="D36" s="16" t="n">
        <v>0.0175</v>
      </c>
      <c r="E36" s="16" t="n">
        <v>0.015</v>
      </c>
      <c r="F36" s="16" t="n">
        <v>0.02</v>
      </c>
      <c r="I36" s="3" t="inlineStr">
        <is>
          <t>aurora_eggs_information_memorandum_draft.pdf s.3(b): "per-capita consumption growth ~1.5-2.0% pa"</t>
        </is>
      </c>
      <c r="J36" s="3" t="inlineStr">
        <is>
          <t>28 Feb 2026</t>
        </is>
      </c>
      <c r="K36" s="10" t="inlineStr">
        <is>
          <t>CONTESTED - 3-4x the ACII-supported drift; carried only as the sell-side sensitivity case.</t>
        </is>
      </c>
    </row>
    <row r="37">
      <c r="A37" s="13" t="inlineStr">
        <is>
          <t>A020</t>
        </is>
      </c>
      <c r="B37" s="2" t="inlineStr">
        <is>
          <t xml:space="preserve">  of which dietary-mix shift (flexitarian 21.4%)</t>
        </is>
      </c>
      <c r="C37" s="14" t="inlineStr">
        <is>
          <t>% p.a.</t>
        </is>
      </c>
      <c r="D37" s="16" t="n">
        <v>0.0023</v>
      </c>
      <c r="E37" s="16" t="n">
        <v>0.002</v>
      </c>
      <c r="F37" s="16" t="n">
        <v>0.0025</v>
      </c>
      <c r="I37" s="3" t="inlineStr">
        <is>
          <t>Calthorpe Part 5 [00:03:12]+[00:27:56]: total drift 0.4-0.5% pa, ~half dietary mix; ACII Wave 11 Table 2</t>
        </is>
      </c>
      <c r="J37" s="3" t="inlineStr">
        <is>
          <t>19 May 2026 / Feb 2026</t>
        </is>
      </c>
      <c r="K37" s="3" t="inlineStr">
        <is>
          <t>Documentation row (not separately wired). Iris annex arithmetic (0.6-0.8% pa combined) flagged as upside read vs Calthorpe 0.4-0.5% total.</t>
        </is>
      </c>
    </row>
    <row r="38">
      <c r="A38" s="13" t="inlineStr">
        <is>
          <t>A021</t>
        </is>
      </c>
      <c r="B38" s="2" t="inlineStr">
        <is>
          <t xml:space="preserve">  of which demographic-cuisine compounding</t>
        </is>
      </c>
      <c r="C38" s="14" t="inlineStr">
        <is>
          <t>% p.a.</t>
        </is>
      </c>
      <c r="D38" s="16" t="n">
        <v>0.0023</v>
      </c>
      <c r="E38" s="16" t="n">
        <v>0.002</v>
      </c>
      <c r="F38" s="16" t="n">
        <v>0.003</v>
      </c>
      <c r="I38" s="3" t="inlineStr">
        <is>
          <t>Calthorpe Part 5 [00:27:56]: +0.2-0.3pp pa; Asian-NZ cohort 268 eggs/yr vs 229 natl (ACII addendum s.3)</t>
        </is>
      </c>
      <c r="J38" s="3" t="inlineStr">
        <is>
          <t>19 May 2026</t>
        </is>
      </c>
      <c r="K38" s="3" t="inlineStr">
        <is>
          <t>Documentation row.</t>
        </is>
      </c>
    </row>
    <row r="39">
      <c r="A39" s="13" t="inlineStr">
        <is>
          <t>A022</t>
        </is>
      </c>
      <c r="B39" s="2" t="inlineStr">
        <is>
          <t>Plant-based displacement by FY30 (sensitivity)</t>
        </is>
      </c>
      <c r="C39" s="14" t="inlineStr">
        <is>
          <t>% of natl volume</t>
        </is>
      </c>
      <c r="D39" s="16" t="n">
        <v>0.02</v>
      </c>
      <c r="E39" s="16" t="n">
        <v>0.015</v>
      </c>
      <c r="F39" s="16" t="n">
        <v>0.025</v>
      </c>
      <c r="I39" s="3" t="inlineStr">
        <is>
          <t>ACII Wave 11 Egg Addendum s.1 + Calthorpe Part 5 [00:06:02]: 1.5-2.5% displaceable FY28-30 if retailer assortment evolves</t>
        </is>
      </c>
      <c r="J39" s="3" t="inlineStr">
        <is>
          <t>Mar 2026 / 19 May 2026</t>
        </is>
      </c>
      <c r="K39" s="3" t="inlineStr">
        <is>
          <t>Phased FY28-30 in the consumer-demand sensitivity. Trigger = chilled plant-based SKU on the egg shelf at Foodstuffs / Woolworths NZ.</t>
        </is>
      </c>
    </row>
    <row r="40">
      <c r="A40" s="13" t="inlineStr">
        <is>
          <t>A023</t>
        </is>
      </c>
      <c r="B40" s="2" t="inlineStr">
        <is>
          <t>Free-range buyers trading down under budget pressure</t>
        </is>
      </c>
      <c r="C40" s="14" t="inlineStr">
        <is>
          <t>% of FR buyers</t>
        </is>
      </c>
      <c r="D40" s="16" t="n">
        <v>0.21</v>
      </c>
      <c r="E40" s="16" t="n">
        <v>0.2</v>
      </c>
      <c r="F40" s="16" t="n">
        <v>0.25</v>
      </c>
      <c r="I40" s="3" t="inlineStr">
        <is>
          <t>ACII Wave 11 Egg Addendum s.2 (actual switch within 12 wks 21%); Calthorpe Part 5 [00:15:48] "20-25% price-sensitive flippers"</t>
        </is>
      </c>
      <c r="J40" s="3" t="inlineStr">
        <is>
          <t>Mar 2026 / 19 May 2026</t>
        </is>
      </c>
      <c r="K40" s="3" t="inlineStr">
        <is>
          <t>Feeds the trade-down mix sensitivity (FR -&gt; barn).</t>
        </is>
      </c>
    </row>
    <row r="41">
      <c r="A41" s="13" t="inlineStr">
        <is>
          <t>A024</t>
        </is>
      </c>
      <c r="B41" s="2" t="inlineStr">
        <is>
          <t>Eggs per dozen (conversion constant)</t>
        </is>
      </c>
      <c r="C41" s="14" t="inlineStr">
        <is>
          <t>eggs</t>
        </is>
      </c>
      <c r="D41" s="18" t="n">
        <v>12</v>
      </c>
      <c r="I41" s="3" t="inlineStr">
        <is>
          <t>Conversion constant</t>
        </is>
      </c>
      <c r="J41" s="3" t="inlineStr">
        <is>
          <t>n/a</t>
        </is>
      </c>
      <c r="K41" s="3" t="inlineStr"/>
    </row>
    <row r="42"/>
    <row r="43">
      <c r="A43" s="4" t="inlineStr">
        <is>
          <t>D.  SUPPLY-SIDE INPUTS  (flock, yield, production-system mix, producer roster - bottom-up basis)</t>
        </is>
      </c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</row>
    <row r="44">
      <c r="A44" s="11" t="inlineStr">
        <is>
          <t>Ref</t>
        </is>
      </c>
      <c r="B44" s="11" t="inlineStr">
        <is>
          <t>Parameter</t>
        </is>
      </c>
      <c r="C44" s="11" t="inlineStr">
        <is>
          <t>Unit</t>
        </is>
      </c>
      <c r="D44" s="12" t="inlineStr">
        <is>
          <t>Value</t>
        </is>
      </c>
      <c r="E44" s="12" t="inlineStr">
        <is>
          <t>Low</t>
        </is>
      </c>
      <c r="F44" s="12" t="inlineStr">
        <is>
          <t>High</t>
        </is>
      </c>
      <c r="G44" s="12" t="inlineStr"/>
      <c r="H44" s="12" t="inlineStr"/>
      <c r="I44" s="11" t="inlineStr">
        <is>
          <t>Source (file / section)</t>
        </is>
      </c>
      <c r="J44" s="11" t="inlineStr">
        <is>
          <t>Vintage</t>
        </is>
      </c>
      <c r="K44" s="11" t="inlineStr">
        <is>
          <t>Notes</t>
        </is>
      </c>
    </row>
    <row r="45">
      <c r="A45" s="13" t="inlineStr">
        <is>
          <t>A025</t>
        </is>
      </c>
      <c r="B45" s="2" t="inlineStr">
        <is>
          <t>National layer flock - official (MPI/NAWAC census)</t>
        </is>
      </c>
      <c r="C45" s="14" t="inlineStr">
        <is>
          <t>M hens</t>
        </is>
      </c>
      <c r="D45" s="17" t="n">
        <v>3.45</v>
      </c>
      <c r="E45" s="17" t="n">
        <v>3.4</v>
      </c>
      <c r="F45" s="17" t="n">
        <v>3.5</v>
      </c>
      <c r="I45" s="3" t="inlineStr">
        <is>
          <t>2025-09 Antipodean extract + transcript_nz_egg_association.pdf [00:07:40] (MPI 3.4-3.5M); EPF FY25 annual restates the Dec-2022 census</t>
        </is>
      </c>
      <c r="J45" s="3" t="inlineStr">
        <is>
          <t>Dec 2022 census - STALE</t>
        </is>
      </c>
      <c r="K45" s="10" t="inlineStr">
        <is>
          <t>STALE - census-based, registered flocks only; superseded for modelling by insider bottom-up (below).</t>
        </is>
      </c>
    </row>
    <row r="46">
      <c r="A46" s="13" t="inlineStr">
        <is>
          <t>A026</t>
        </is>
      </c>
      <c r="B46" s="2" t="inlineStr">
        <is>
          <t>National flock - FY2023 (deal-team estimate)</t>
        </is>
      </c>
      <c r="C46" s="14" t="inlineStr">
        <is>
          <t>M hens</t>
        </is>
      </c>
      <c r="D46" s="17" t="n">
        <v>3.6</v>
      </c>
      <c r="I46" s="3" t="inlineStr">
        <is>
          <t>Deal-team interpolation: Dec-2022 census 3.45M -&gt; insider FY26 3.75M; Phase 2 needs more birds per egg (Calthorpe Part 2 [00:26:48])</t>
        </is>
      </c>
      <c r="J46" s="3" t="inlineStr">
        <is>
          <t>Estimate, May 2026</t>
        </is>
      </c>
      <c r="K46" s="10" t="inlineStr">
        <is>
          <t>ESTIMATE - refresh on census update.</t>
        </is>
      </c>
    </row>
    <row r="47">
      <c r="A47" s="13" t="inlineStr">
        <is>
          <t>A027</t>
        </is>
      </c>
      <c r="B47" s="2" t="inlineStr">
        <is>
          <t>National flock - FY2024 (deal-team estimate)</t>
        </is>
      </c>
      <c r="C47" s="14" t="inlineStr">
        <is>
          <t>M hens</t>
        </is>
      </c>
      <c r="D47" s="17" t="n">
        <v>3.7</v>
      </c>
      <c r="I47" s="3" t="inlineStr">
        <is>
          <t>Deal-team interpolation (as above); consistent with Calthorpe Part 1 [00:04:01] "roughly 3.7-3.8M"</t>
        </is>
      </c>
      <c r="J47" s="3" t="inlineStr">
        <is>
          <t>Estimate, May 2026</t>
        </is>
      </c>
      <c r="K47" s="10" t="inlineStr">
        <is>
          <t>ESTIMATE.</t>
        </is>
      </c>
    </row>
    <row r="48">
      <c r="A48" s="13" t="inlineStr">
        <is>
          <t>A028</t>
        </is>
      </c>
      <c r="B48" s="2" t="inlineStr">
        <is>
          <t>National flock - FY2025 (deal-team estimate)</t>
        </is>
      </c>
      <c r="C48" s="14" t="inlineStr">
        <is>
          <t>M hens</t>
        </is>
      </c>
      <c r="D48" s="17" t="n">
        <v>3.73</v>
      </c>
      <c r="I48" s="3" t="inlineStr">
        <is>
          <t>Deal-team interpolation (as above)</t>
        </is>
      </c>
      <c r="J48" s="3" t="inlineStr">
        <is>
          <t>Estimate, May 2026</t>
        </is>
      </c>
      <c r="K48" s="10" t="inlineStr">
        <is>
          <t>ESTIMATE.</t>
        </is>
      </c>
    </row>
    <row r="49">
      <c r="A49" s="13" t="inlineStr">
        <is>
          <t>A029</t>
        </is>
      </c>
      <c r="B49" s="2" t="inlineStr">
        <is>
          <t>National flock - FY2026 central case</t>
        </is>
      </c>
      <c r="C49" s="14" t="inlineStr">
        <is>
          <t>M hens</t>
        </is>
      </c>
      <c r="D49" s="17" t="n">
        <v>3.75</v>
      </c>
      <c r="E49" s="17" t="n">
        <v>3.7</v>
      </c>
      <c r="F49" s="17" t="n">
        <v>3.8</v>
      </c>
      <c r="I49" s="3" t="inlineStr">
        <is>
          <t>Calthorpe Part 2 [00:25:48] central case (sums producer roster); ~7% above official MPI 3.5M; Hartley Pearce note reconciles to same 3.75M</t>
        </is>
      </c>
      <c r="J49" s="3" t="inlineStr">
        <is>
          <t>8 May 2026 (interview)</t>
        </is>
      </c>
      <c r="K49" s="3" t="inlineStr">
        <is>
          <t>WORKING ANCHOR for bottom-up.</t>
        </is>
      </c>
    </row>
    <row r="50">
      <c r="A50" s="13" t="inlineStr">
        <is>
          <t>A030</t>
        </is>
      </c>
      <c r="B50" s="2" t="inlineStr">
        <is>
          <t>Eggs per layer per year (blended)</t>
        </is>
      </c>
      <c r="C50" s="14" t="inlineStr">
        <is>
          <t>eggs/hen/yr</t>
        </is>
      </c>
      <c r="D50" s="18" t="n">
        <v>300</v>
      </c>
      <c r="E50" s="18" t="n">
        <v>290</v>
      </c>
      <c r="F50" s="18" t="n">
        <v>305</v>
      </c>
      <c r="I50" s="3" t="inlineStr">
        <is>
          <t>Calthorpe Part 3 [00:01:54] (300); EPFNZ rule-of-thumb 290-305, FR 285-295 / colony 295-310 (Marsden [00:06:18])</t>
        </is>
      </c>
      <c r="J50" s="3" t="inlineStr">
        <is>
          <t>11 May / 7 May 2026</t>
        </is>
      </c>
      <c r="K50" s="3" t="inlineStr"/>
    </row>
    <row r="51">
      <c r="A51" s="13" t="inlineStr">
        <is>
          <t>A031</t>
        </is>
      </c>
      <c r="B51" s="2" t="inlineStr">
        <is>
          <t>Flock utilisation across year</t>
        </is>
      </c>
      <c r="C51" s="14" t="inlineStr">
        <is>
          <t>%</t>
        </is>
      </c>
      <c r="D51" s="19" t="n">
        <v>0.9</v>
      </c>
      <c r="I51" s="3" t="inlineStr">
        <is>
          <t>Calthorpe Part 3 [00:01:54] "90% utilisation across the year"</t>
        </is>
      </c>
      <c r="J51" s="3" t="inlineStr">
        <is>
          <t>11 May 2026</t>
        </is>
      </c>
      <c r="K51" s="3" t="inlineStr">
        <is>
          <t>Covers moult/replacement downtime.</t>
        </is>
      </c>
    </row>
    <row r="52">
      <c r="A52" s="13" t="inlineStr">
        <is>
          <t>A032</t>
        </is>
      </c>
      <c r="B52" s="2" t="inlineStr">
        <is>
          <t>System mix Dec-2022 - colony</t>
        </is>
      </c>
      <c r="C52" s="14" t="inlineStr">
        <is>
          <t>% of flock</t>
        </is>
      </c>
      <c r="D52" s="19" t="n">
        <v>0.33</v>
      </c>
      <c r="I52" s="3" t="inlineStr">
        <is>
          <t>MPI/NAWAC Dec-2022 layer-hen survey, restated in EPF FY25 annual s.2</t>
        </is>
      </c>
      <c r="J52" s="3" t="inlineStr">
        <is>
          <t>Dec 2022 - STALE</t>
        </is>
      </c>
      <c r="K52" s="10" t="inlineStr">
        <is>
          <t>SUPERSEDED for current-era work - see supersession log.</t>
        </is>
      </c>
    </row>
    <row r="53">
      <c r="A53" s="13" t="inlineStr">
        <is>
          <t>A033</t>
        </is>
      </c>
      <c r="B53" s="2" t="inlineStr">
        <is>
          <t>System mix Dec-2022 - barn</t>
        </is>
      </c>
      <c r="C53" s="14" t="inlineStr">
        <is>
          <t>% of flock</t>
        </is>
      </c>
      <c r="D53" s="19" t="n">
        <v>0.33</v>
      </c>
      <c r="I53" s="3" t="inlineStr">
        <is>
          <t>Same</t>
        </is>
      </c>
      <c r="J53" s="3" t="inlineStr">
        <is>
          <t>Dec 2022 - STALE</t>
        </is>
      </c>
      <c r="K53" s="10" t="inlineStr">
        <is>
          <t>SUPERSEDED.</t>
        </is>
      </c>
    </row>
    <row r="54">
      <c r="A54" s="13" t="inlineStr">
        <is>
          <t>A034</t>
        </is>
      </c>
      <c r="B54" s="2" t="inlineStr">
        <is>
          <t>System mix Dec-2022 - free-range</t>
        </is>
      </c>
      <c r="C54" s="14" t="inlineStr">
        <is>
          <t>% of flock</t>
        </is>
      </c>
      <c r="D54" s="19" t="n">
        <v>0.34</v>
      </c>
      <c r="I54" s="3" t="inlineStr">
        <is>
          <t>Same</t>
        </is>
      </c>
      <c r="J54" s="3" t="inlineStr">
        <is>
          <t>Dec 2022 - STALE</t>
        </is>
      </c>
      <c r="K54" s="10" t="inlineStr">
        <is>
          <t>SUPERSEDED. (Conventional cage = 0% since 1 Jan 2023 - Phase 1 complete.)</t>
        </is>
      </c>
    </row>
    <row r="55">
      <c r="A55" s="13" t="inlineStr">
        <is>
          <t>A035</t>
        </is>
      </c>
      <c r="B55" s="2" t="inlineStr">
        <is>
          <t>System mix FY26 current-era - free-range</t>
        </is>
      </c>
      <c r="C55" s="14" t="inlineStr">
        <is>
          <t>% of flock</t>
        </is>
      </c>
      <c r="D55" s="19" t="n">
        <v>0.4</v>
      </c>
      <c r="I55" s="3" t="inlineStr">
        <is>
          <t>Calthorpe Part 1 [00:08:14]; corroborated industry_analyst_extract_nz_eggs_2025.pdf ("40/40/20 informed market-side estimate")</t>
        </is>
      </c>
      <c r="J55" s="3" t="inlineStr">
        <is>
          <t>6 May 2026 / Q3 2025</t>
        </is>
      </c>
      <c r="K55" s="3" t="inlineStr">
        <is>
          <t>CURRENT-ERA WORKING ANCHOR (incl. pasture-raised marketing sub-tier - MPI taxonomy per Vivian, Slack 5 May).</t>
        </is>
      </c>
    </row>
    <row r="56">
      <c r="A56" s="13" t="inlineStr">
        <is>
          <t>A036</t>
        </is>
      </c>
      <c r="B56" s="2" t="inlineStr">
        <is>
          <t>System mix FY26 current-era - colony</t>
        </is>
      </c>
      <c r="C56" s="14" t="inlineStr">
        <is>
          <t>% of flock</t>
        </is>
      </c>
      <c r="D56" s="19" t="n">
        <v>0.4</v>
      </c>
      <c r="I56" s="3" t="inlineStr">
        <is>
          <t>Same</t>
        </is>
      </c>
      <c r="J56" s="3" t="inlineStr">
        <is>
          <t>6 May 2026</t>
        </is>
      </c>
      <c r="K56" s="3" t="inlineStr">
        <is>
          <t>The cohort that must exit packaged retail shelves by end-2027.</t>
        </is>
      </c>
    </row>
    <row r="57">
      <c r="A57" s="13" t="inlineStr">
        <is>
          <t>A037</t>
        </is>
      </c>
      <c r="B57" s="2" t="inlineStr">
        <is>
          <t>System mix FY26 current-era - barn</t>
        </is>
      </c>
      <c r="C57" s="14" t="inlineStr">
        <is>
          <t>% of flock</t>
        </is>
      </c>
      <c r="D57" s="19" t="n">
        <v>0.2</v>
      </c>
      <c r="I57" s="3" t="inlineStr">
        <is>
          <t>Same</t>
        </is>
      </c>
      <c r="J57" s="3" t="inlineStr">
        <is>
          <t>6 May 2026</t>
        </is>
      </c>
      <c r="K57" s="3" t="inlineStr"/>
    </row>
    <row r="58">
      <c r="A58" s="13" t="inlineStr">
        <is>
          <t>A038</t>
        </is>
      </c>
      <c r="B58" s="2" t="inlineStr">
        <is>
          <t>Producer volume share - Mainland Poultry</t>
        </is>
      </c>
      <c r="C58" s="14" t="inlineStr">
        <is>
          <t>% natl volume</t>
        </is>
      </c>
      <c r="D58" s="19" t="n">
        <v>0.27</v>
      </c>
      <c r="E58" s="19" t="n">
        <v>0.25</v>
      </c>
      <c r="F58" s="19" t="n">
        <v>0.3</v>
      </c>
      <c r="I58" s="3" t="inlineStr">
        <is>
          <t>Calthorpe Part 2 [00:25:48] central case; Part 1 range 25-30%; Hartley Pearce Exhibit 1 (27%)</t>
        </is>
      </c>
      <c r="J58" s="3" t="inlineStr">
        <is>
          <t>8 May 2026 / 28 Mar 2026</t>
        </is>
      </c>
      <c r="K58" s="3" t="inlineStr">
        <is>
          <t>PEP-owned since Jan 2025 (NZ$340-380M, ~7.0-7.5x).</t>
        </is>
      </c>
    </row>
    <row r="59">
      <c r="A59" s="13" t="inlineStr">
        <is>
          <t>A039</t>
        </is>
      </c>
      <c r="B59" s="2" t="inlineStr">
        <is>
          <t>Producer volume share - Aurora Eggs (additive)</t>
        </is>
      </c>
      <c r="C59" s="14" t="inlineStr">
        <is>
          <t>% natl volume</t>
        </is>
      </c>
      <c r="D59" s="19" t="n">
        <v>0.18</v>
      </c>
      <c r="E59" s="19" t="n">
        <v>0.17</v>
      </c>
      <c r="F59" s="19" t="n">
        <v>0.19</v>
      </c>
      <c r="I59" s="3" t="inlineStr">
        <is>
          <t>Calthorpe Part 2 [00:25:48] central 18% (refined from Part 1 range 17-19%); Slack lock (Theo + Vivian, 8 May)</t>
        </is>
      </c>
      <c r="J59" s="3" t="inlineStr">
        <is>
          <t>8 May 2026</t>
        </is>
      </c>
      <c r="K59" s="3" t="inlineStr">
        <is>
          <t>ADDITIVE to public roster - do not shrink tracked producers to fit Aurora in (Vivian must-test #3).</t>
        </is>
      </c>
    </row>
    <row r="60">
      <c r="A60" s="13" t="inlineStr">
        <is>
          <t>A040</t>
        </is>
      </c>
      <c r="B60" s="2" t="inlineStr">
        <is>
          <t>Producer volume share - Heyden Farms</t>
        </is>
      </c>
      <c r="C60" s="14" t="inlineStr">
        <is>
          <t>% natl volume</t>
        </is>
      </c>
      <c r="D60" s="19" t="n">
        <v>0.13</v>
      </c>
      <c r="E60" s="19" t="n">
        <v>0.12</v>
      </c>
      <c r="F60" s="19" t="n">
        <v>0.15</v>
      </c>
      <c r="I60" s="3" t="inlineStr">
        <is>
          <t>Calthorpe Part 2 central; Hartley Pearce Exhibit 1</t>
        </is>
      </c>
      <c r="J60" s="3" t="inlineStr">
        <is>
          <t>8 May 2026</t>
        </is>
      </c>
      <c r="K60" s="3" t="inlineStr">
        <is>
          <t>Family (Heyden); succession question, behind on Phase 2.</t>
        </is>
      </c>
    </row>
    <row r="61">
      <c r="A61" s="13" t="inlineStr">
        <is>
          <t>A041</t>
        </is>
      </c>
      <c r="B61" s="2" t="inlineStr">
        <is>
          <t>Producer volume share - Better Eggs</t>
        </is>
      </c>
      <c r="C61" s="14" t="inlineStr">
        <is>
          <t>% natl volume</t>
        </is>
      </c>
      <c r="D61" s="19" t="n">
        <v>0.09</v>
      </c>
      <c r="E61" s="19" t="n">
        <v>0.08</v>
      </c>
      <c r="F61" s="19" t="n">
        <v>0.1</v>
      </c>
      <c r="I61" s="3" t="inlineStr">
        <is>
          <t>Calthorpe Part 2 central; Hartley Pearce Exhibit 1</t>
        </is>
      </c>
      <c r="J61" s="3" t="inlineStr">
        <is>
          <t>8 May 2026</t>
        </is>
      </c>
      <c r="K61" s="3" t="inlineStr"/>
    </row>
    <row r="62">
      <c r="A62" s="13" t="inlineStr">
        <is>
          <t>A042</t>
        </is>
      </c>
      <c r="B62" s="2" t="inlineStr">
        <is>
          <t>Producer volume share - Zeagold Foods</t>
        </is>
      </c>
      <c r="C62" s="14" t="inlineStr">
        <is>
          <t>% natl volume</t>
        </is>
      </c>
      <c r="D62" s="19" t="n">
        <v>0.07000000000000001</v>
      </c>
      <c r="E62" s="19" t="n">
        <v>0.06</v>
      </c>
      <c r="F62" s="19" t="n">
        <v>0.08</v>
      </c>
      <c r="I62" s="3" t="inlineStr">
        <is>
          <t>Calthorpe Part 2 central; Hartley Pearce Exhibit 1</t>
        </is>
      </c>
      <c r="J62" s="3" t="inlineStr">
        <is>
          <t>8 May 2026</t>
        </is>
      </c>
      <c r="K62" s="3" t="inlineStr">
        <is>
          <t>Mainland (PEP) eggs division.</t>
        </is>
      </c>
    </row>
    <row r="63">
      <c r="A63" s="13" t="inlineStr">
        <is>
          <t>A043</t>
        </is>
      </c>
      <c r="B63" s="2" t="inlineStr">
        <is>
          <t>Producer volume share - Henergy Cage Free</t>
        </is>
      </c>
      <c r="C63" s="14" t="inlineStr">
        <is>
          <t>% natl volume</t>
        </is>
      </c>
      <c r="D63" s="19" t="n">
        <v>0.06</v>
      </c>
      <c r="E63" s="19" t="n">
        <v>0.05</v>
      </c>
      <c r="F63" s="19" t="n">
        <v>0.07000000000000001</v>
      </c>
      <c r="I63" s="3" t="inlineStr">
        <is>
          <t>Calthorpe Part 2 central; Hartley Pearce Exhibit 1</t>
        </is>
      </c>
      <c r="J63" s="3" t="inlineStr">
        <is>
          <t>8 May 2026</t>
        </is>
      </c>
      <c r="K63" s="3" t="inlineStr">
        <is>
          <t>Pure-play free-range.</t>
        </is>
      </c>
    </row>
    <row r="64">
      <c r="A64" s="13" t="inlineStr">
        <is>
          <t>A044</t>
        </is>
      </c>
      <c r="B64" s="2" t="inlineStr">
        <is>
          <t>Producer volume share - long tail / specialty (&gt;30 ops)</t>
        </is>
      </c>
      <c r="C64" s="14" t="inlineStr">
        <is>
          <t>% natl volume</t>
        </is>
      </c>
      <c r="D64" s="19" t="n">
        <v>0.2</v>
      </c>
      <c r="E64" s="19" t="n">
        <v>0.2</v>
      </c>
      <c r="F64" s="19" t="n">
        <v>0.22</v>
      </c>
      <c r="I64" s="3" t="inlineStr">
        <is>
          <t>Calthorpe Part 2 central; Hartley Pearce key takeaways (~20-22% excl. Aurora)</t>
        </is>
      </c>
      <c r="J64" s="3" t="inlineStr">
        <is>
          <t>8 May 2026</t>
        </is>
      </c>
      <c r="K64" s="3" t="inlineStr">
        <is>
          <t>25-30 sub-50k-bird colony operators + specialty cohort (150-200k birds).</t>
        </is>
      </c>
    </row>
    <row r="65">
      <c r="A65" s="13" t="inlineStr">
        <is>
          <t>A045</t>
        </is>
      </c>
      <c r="B65" s="2" t="inlineStr">
        <is>
          <t>Est. FY24 revenue - Mainland</t>
        </is>
      </c>
      <c r="C65" s="14" t="inlineStr">
        <is>
          <t>NZ$M</t>
        </is>
      </c>
      <c r="D65" s="18" t="n">
        <v>240</v>
      </c>
      <c r="I65" s="3" t="inlineStr">
        <is>
          <t>nz_egg_producers_competitor_overview.pdf (Hartley Pearce) Exhibit 1</t>
        </is>
      </c>
      <c r="J65" s="3" t="inlineStr">
        <is>
          <t>28 Mar 2026</t>
        </is>
      </c>
      <c r="K65" s="3" t="inlineStr">
        <is>
          <t>Capacity-implied estimates; privately-held caveat.</t>
        </is>
      </c>
    </row>
    <row r="66">
      <c r="A66" s="13" t="inlineStr">
        <is>
          <t>A046</t>
        </is>
      </c>
      <c r="B66" s="2" t="inlineStr">
        <is>
          <t>Est. FY24 revenue - Heyden</t>
        </is>
      </c>
      <c r="C66" s="14" t="inlineStr">
        <is>
          <t>NZ$M</t>
        </is>
      </c>
      <c r="D66" s="18" t="n">
        <v>108</v>
      </c>
      <c r="I66" s="3" t="inlineStr">
        <is>
          <t>Hartley Pearce Exhibit 1</t>
        </is>
      </c>
      <c r="J66" s="3" t="inlineStr">
        <is>
          <t>28 Mar 2026</t>
        </is>
      </c>
      <c r="K66" s="3" t="inlineStr"/>
    </row>
    <row r="67">
      <c r="A67" s="13" t="inlineStr">
        <is>
          <t>A047</t>
        </is>
      </c>
      <c r="B67" s="2" t="inlineStr">
        <is>
          <t>Est. FY24 revenue - Better Eggs</t>
        </is>
      </c>
      <c r="C67" s="14" t="inlineStr">
        <is>
          <t>NZ$M</t>
        </is>
      </c>
      <c r="D67" s="18" t="n">
        <v>78</v>
      </c>
      <c r="I67" s="3" t="inlineStr">
        <is>
          <t>Hartley Pearce Exhibit 1</t>
        </is>
      </c>
      <c r="J67" s="3" t="inlineStr">
        <is>
          <t>28 Mar 2026</t>
        </is>
      </c>
      <c r="K67" s="3" t="inlineStr"/>
    </row>
    <row r="68">
      <c r="A68" s="13" t="inlineStr">
        <is>
          <t>A048</t>
        </is>
      </c>
      <c r="B68" s="2" t="inlineStr">
        <is>
          <t>Est. FY24 revenue - Zeagold</t>
        </is>
      </c>
      <c r="C68" s="14" t="inlineStr">
        <is>
          <t>NZ$M</t>
        </is>
      </c>
      <c r="D68" s="18" t="n">
        <v>62</v>
      </c>
      <c r="I68" s="3" t="inlineStr">
        <is>
          <t>Hartley Pearce Exhibit 1</t>
        </is>
      </c>
      <c r="J68" s="3" t="inlineStr">
        <is>
          <t>28 Mar 2026</t>
        </is>
      </c>
      <c r="K68" s="3" t="inlineStr"/>
    </row>
    <row r="69">
      <c r="A69" s="13" t="inlineStr">
        <is>
          <t>A049</t>
        </is>
      </c>
      <c r="B69" s="2" t="inlineStr">
        <is>
          <t>Est. FY24 revenue - Henergy</t>
        </is>
      </c>
      <c r="C69" s="14" t="inlineStr">
        <is>
          <t>NZ$M</t>
        </is>
      </c>
      <c r="D69" s="18" t="n">
        <v>48</v>
      </c>
      <c r="I69" s="3" t="inlineStr">
        <is>
          <t>Hartley Pearce Exhibit 1</t>
        </is>
      </c>
      <c r="J69" s="3" t="inlineStr">
        <is>
          <t>28 Mar 2026</t>
        </is>
      </c>
      <c r="K69" s="3" t="inlineStr"/>
    </row>
    <row r="70">
      <c r="A70" s="13" t="inlineStr">
        <is>
          <t>A050</t>
        </is>
      </c>
      <c r="B70" s="2" t="inlineStr">
        <is>
          <t>Est. FY24 revenue - long tail / specialty</t>
        </is>
      </c>
      <c r="C70" s="14" t="inlineStr">
        <is>
          <t>NZ$M</t>
        </is>
      </c>
      <c r="D70" s="18" t="n">
        <v>305</v>
      </c>
      <c r="E70" s="18" t="n">
        <v>280</v>
      </c>
      <c r="F70" s="18" t="n">
        <v>330</v>
      </c>
      <c r="I70" s="3" t="inlineStr">
        <is>
          <t>Hartley Pearce Exhibit 1 (range ~280-330)</t>
        </is>
      </c>
      <c r="J70" s="3" t="inlineStr">
        <is>
          <t>28 Mar 2026</t>
        </is>
      </c>
      <c r="K70" s="3" t="inlineStr">
        <is>
          <t>Premium / direct-skewed pricing in the specialty cohort; mid carried.</t>
        </is>
      </c>
    </row>
    <row r="71">
      <c r="A71" s="13" t="inlineStr">
        <is>
          <t>A051</t>
        </is>
      </c>
      <c r="B71" s="2" t="inlineStr">
        <is>
          <t>Cage-free share of flock - Mainland</t>
        </is>
      </c>
      <c r="C71" s="14" t="inlineStr">
        <is>
          <t>%</t>
        </is>
      </c>
      <c r="D71" s="19" t="n">
        <v>0.85</v>
      </c>
      <c r="I71" s="3" t="inlineStr">
        <is>
          <t>Calthorpe Part 2 [00:32:10] (revised from 80% in Part 1)</t>
        </is>
      </c>
      <c r="J71" s="3" t="inlineStr">
        <is>
          <t>8 May 2026</t>
        </is>
      </c>
      <c r="K71" s="3" t="inlineStr"/>
    </row>
    <row r="72">
      <c r="A72" s="13" t="inlineStr">
        <is>
          <t>A052</t>
        </is>
      </c>
      <c r="B72" s="2" t="inlineStr">
        <is>
          <t>Cage-free share of flock - Heyden</t>
        </is>
      </c>
      <c r="C72" s="14" t="inlineStr">
        <is>
          <t>%</t>
        </is>
      </c>
      <c r="D72" s="16" t="n">
        <v>0.475</v>
      </c>
      <c r="E72" s="16" t="n">
        <v>0.45</v>
      </c>
      <c r="F72" s="16" t="n">
        <v>0.5</v>
      </c>
      <c r="I72" s="3" t="inlineStr">
        <is>
          <t>Calthorpe Part 2 [00:32:10]</t>
        </is>
      </c>
      <c r="J72" s="3" t="inlineStr">
        <is>
          <t>8 May 2026</t>
        </is>
      </c>
      <c r="K72" s="3" t="inlineStr"/>
    </row>
    <row r="73">
      <c r="A73" s="13" t="inlineStr">
        <is>
          <t>A053</t>
        </is>
      </c>
      <c r="B73" s="2" t="inlineStr">
        <is>
          <t>Cage-free share of flock - Better Eggs</t>
        </is>
      </c>
      <c r="C73" s="14" t="inlineStr">
        <is>
          <t>%</t>
        </is>
      </c>
      <c r="D73" s="19" t="n">
        <v>0.65</v>
      </c>
      <c r="I73" s="3" t="inlineStr">
        <is>
          <t>Calthorpe Part 2 [00:32:10]</t>
        </is>
      </c>
      <c r="J73" s="3" t="inlineStr">
        <is>
          <t>8 May 2026</t>
        </is>
      </c>
      <c r="K73" s="3" t="inlineStr"/>
    </row>
    <row r="74">
      <c r="A74" s="13" t="inlineStr">
        <is>
          <t>A054</t>
        </is>
      </c>
      <c r="B74" s="2" t="inlineStr">
        <is>
          <t>Cage-free share of flock - Zeagold</t>
        </is>
      </c>
      <c r="C74" s="14" t="inlineStr">
        <is>
          <t>%</t>
        </is>
      </c>
      <c r="D74" s="16" t="n">
        <v>0.725</v>
      </c>
      <c r="E74" s="16" t="n">
        <v>0.7</v>
      </c>
      <c r="F74" s="16" t="n">
        <v>0.75</v>
      </c>
      <c r="I74" s="3" t="inlineStr">
        <is>
          <t>Calthorpe Part 2 [00:32:10]</t>
        </is>
      </c>
      <c r="J74" s="3" t="inlineStr">
        <is>
          <t>8 May 2026</t>
        </is>
      </c>
      <c r="K74" s="3" t="inlineStr"/>
    </row>
    <row r="75">
      <c r="A75" s="13" t="inlineStr">
        <is>
          <t>A055</t>
        </is>
      </c>
      <c r="B75" s="2" t="inlineStr">
        <is>
          <t>Cage-free share of flock - Henergy</t>
        </is>
      </c>
      <c r="C75" s="14" t="inlineStr">
        <is>
          <t>%</t>
        </is>
      </c>
      <c r="D75" s="19" t="n">
        <v>1</v>
      </c>
      <c r="I75" s="3" t="inlineStr">
        <is>
          <t>Calthorpe Part 2 [00:32:10] "essentially 100%"</t>
        </is>
      </c>
      <c r="J75" s="3" t="inlineStr">
        <is>
          <t>8 May 2026</t>
        </is>
      </c>
      <c r="K75" s="3" t="inlineStr"/>
    </row>
    <row r="76">
      <c r="A76" s="13" t="inlineStr">
        <is>
          <t>A056</t>
        </is>
      </c>
      <c r="B76" s="2" t="inlineStr">
        <is>
          <t>Cage-free share of flock - Aurora</t>
        </is>
      </c>
      <c r="C76" s="14" t="inlineStr">
        <is>
          <t>%</t>
        </is>
      </c>
      <c r="D76" s="19" t="n">
        <v>0.6</v>
      </c>
      <c r="I76" s="3" t="inlineStr">
        <is>
          <t>Calthorpe Part 2 [00:32:10]: 30% barn + 30% FR; largest single colony block of named top-6</t>
        </is>
      </c>
      <c r="J76" s="3" t="inlineStr">
        <is>
          <t>8 May 2026</t>
        </is>
      </c>
      <c r="K76" s="3" t="inlineStr"/>
    </row>
    <row r="77">
      <c r="A77" s="13" t="inlineStr">
        <is>
          <t>A057</t>
        </is>
      </c>
      <c r="B77" s="2" t="inlineStr">
        <is>
          <t>Colony conversion destination - to barn</t>
        </is>
      </c>
      <c r="C77" s="14" t="inlineStr">
        <is>
          <t>% of converting hens</t>
        </is>
      </c>
      <c r="D77" s="19" t="n">
        <v>0.65</v>
      </c>
      <c r="I77" s="3" t="inlineStr">
        <is>
          <t>Deal-team assumption from Calthorpe Part 1 [00:09:11] (larger ops -&gt; FR, smaller -&gt; barn) + Part 2 [00:34:32]</t>
        </is>
      </c>
      <c r="J77" s="3" t="inlineStr">
        <is>
          <t>Assumption, May 2026</t>
        </is>
      </c>
      <c r="K77" s="10" t="inlineStr">
        <is>
          <t>ASSUMPTION - drives the FY27-30 mix path (s.I).</t>
        </is>
      </c>
    </row>
    <row r="78">
      <c r="A78" s="13" t="inlineStr">
        <is>
          <t>A058</t>
        </is>
      </c>
      <c r="B78" s="2" t="inlineStr">
        <is>
          <t>Colony conversion destination - to free-range</t>
        </is>
      </c>
      <c r="C78" s="14" t="inlineStr">
        <is>
          <t>% of converting hens</t>
        </is>
      </c>
      <c r="D78" s="19" t="n">
        <v>0.25</v>
      </c>
      <c r="I78" s="3" t="inlineStr">
        <is>
          <t>Same</t>
        </is>
      </c>
      <c r="J78" s="3" t="inlineStr">
        <is>
          <t>Assumption, May 2026</t>
        </is>
      </c>
      <c r="K78" s="10" t="inlineStr">
        <is>
          <t>ASSUMPTION.</t>
        </is>
      </c>
    </row>
    <row r="79">
      <c r="A79" s="13" t="inlineStr">
        <is>
          <t>A059</t>
        </is>
      </c>
      <c r="B79" s="2" t="inlineStr">
        <is>
          <t>Colony conversion destination - exit / not converted</t>
        </is>
      </c>
      <c r="C79" s="14" t="inlineStr">
        <is>
          <t>% of converting hens</t>
        </is>
      </c>
      <c r="D79" s="19" t="n">
        <v>0.1</v>
      </c>
      <c r="I79" s="3" t="inlineStr">
        <is>
          <t>Calthorpe Part 2 [00:34:32]: long-tail exits; 6-10 operators by FY28 (Part 6 [00:30:56])</t>
        </is>
      </c>
      <c r="J79" s="3" t="inlineStr">
        <is>
          <t>8 / 26 May 2026</t>
        </is>
      </c>
      <c r="K79" s="3" t="inlineStr">
        <is>
          <t>Exited capacity backfilled by named-producer expansion in central case.</t>
        </is>
      </c>
    </row>
    <row r="80"/>
    <row r="81">
      <c r="A81" s="4" t="inlineStr">
        <is>
          <t>E.  CHANNEL MIX &amp; PRICING INPUTS  (MECE channel cut; markup-factor convention - standards s.2.3)</t>
        </is>
      </c>
      <c r="B81" s="4" t="n"/>
      <c r="C81" s="4" t="n"/>
      <c r="D81" s="4" t="n"/>
      <c r="E81" s="4" t="n"/>
      <c r="F81" s="4" t="n"/>
      <c r="G81" s="4" t="n"/>
      <c r="H81" s="4" t="n"/>
      <c r="I81" s="4" t="n"/>
      <c r="J81" s="4" t="n"/>
      <c r="K81" s="4" t="n"/>
    </row>
    <row r="82">
      <c r="A82" s="11" t="inlineStr">
        <is>
          <t>Ref</t>
        </is>
      </c>
      <c r="B82" s="11" t="inlineStr">
        <is>
          <t>Parameter</t>
        </is>
      </c>
      <c r="C82" s="11" t="inlineStr">
        <is>
          <t>Unit</t>
        </is>
      </c>
      <c r="D82" s="12" t="inlineStr">
        <is>
          <t>Value</t>
        </is>
      </c>
      <c r="E82" s="12" t="inlineStr">
        <is>
          <t>Low</t>
        </is>
      </c>
      <c r="F82" s="12" t="inlineStr">
        <is>
          <t>High</t>
        </is>
      </c>
      <c r="G82" s="12" t="inlineStr"/>
      <c r="H82" s="12" t="inlineStr"/>
      <c r="I82" s="11" t="inlineStr">
        <is>
          <t>Source (file / section)</t>
        </is>
      </c>
      <c r="J82" s="11" t="inlineStr">
        <is>
          <t>Vintage</t>
        </is>
      </c>
      <c r="K82" s="11" t="inlineStr">
        <is>
          <t>Notes</t>
        </is>
      </c>
    </row>
    <row r="83">
      <c r="A83" s="13" t="inlineStr">
        <is>
          <t>A060</t>
        </is>
      </c>
      <c r="B83" s="2" t="inlineStr">
        <is>
          <t>Channel mix - retail grocery</t>
        </is>
      </c>
      <c r="C83" s="14" t="inlineStr">
        <is>
          <t>% natl volume</t>
        </is>
      </c>
      <c r="D83" s="16" t="n">
        <v>0.7</v>
      </c>
      <c r="E83" s="16" t="n">
        <v>0.7</v>
      </c>
      <c r="F83" s="16" t="n">
        <v>0.75</v>
      </c>
      <c r="I83" s="3" t="inlineStr">
        <is>
          <t>Calthorpe Part 1 [00:05:08] (70-75%); EPF 3-channel cut retail 70-75% (Marsden [00:14:50]); USDA NZ Retail Foods 2024 + NZCC 2022 corroborate FS-vs-industrial split</t>
        </is>
      </c>
      <c r="J83" s="3" t="inlineStr">
        <is>
          <t>6 May 2026</t>
        </is>
      </c>
      <c r="K83" s="3" t="inlineStr">
        <is>
          <t>MECE five-channel cut sums to 100% (check row below). EPF lumps FS+industrial ("commercial" 22-25%); producers split them - model follows producer cut.</t>
        </is>
      </c>
    </row>
    <row r="84">
      <c r="A84" s="13" t="inlineStr">
        <is>
          <t>A061</t>
        </is>
      </c>
      <c r="B84" s="2" t="inlineStr">
        <is>
          <t>Channel mix - foodservice</t>
        </is>
      </c>
      <c r="C84" s="14" t="inlineStr">
        <is>
          <t>% natl volume</t>
        </is>
      </c>
      <c r="D84" s="16" t="n">
        <v>0.135</v>
      </c>
      <c r="E84" s="16" t="n">
        <v>0.12</v>
      </c>
      <c r="F84" s="16" t="n">
        <v>0.15</v>
      </c>
      <c r="I84" s="3" t="inlineStr">
        <is>
          <t>Calthorpe Part 1 [00:05:38] (~15%) and Part 3 [00:03:42] (12-15%)</t>
        </is>
      </c>
      <c r="J84" s="3" t="inlineStr">
        <is>
          <t>6-11 May 2026</t>
        </is>
      </c>
      <c r="K84" s="3" t="inlineStr"/>
    </row>
    <row r="85">
      <c r="A85" s="13" t="inlineStr">
        <is>
          <t>A062</t>
        </is>
      </c>
      <c r="B85" s="2" t="inlineStr">
        <is>
          <t>Channel mix - industrial / processor</t>
        </is>
      </c>
      <c r="C85" s="14" t="inlineStr">
        <is>
          <t>% natl volume</t>
        </is>
      </c>
      <c r="D85" s="16" t="n">
        <v>0.09</v>
      </c>
      <c r="E85" s="16" t="n">
        <v>0.08</v>
      </c>
      <c r="F85" s="16" t="n">
        <v>0.1</v>
      </c>
      <c r="I85" s="3" t="inlineStr">
        <is>
          <t>Calthorpe Part 1 (10%) and Part 3 [00:03:42] (8-10%)</t>
        </is>
      </c>
      <c r="J85" s="3" t="inlineStr">
        <is>
          <t>6-11 May 2026</t>
        </is>
      </c>
      <c r="K85" s="3" t="inlineStr">
        <is>
          <t>Largely seconds-clearance (4-6% of throughput) per Part 4 [00:11:54].</t>
        </is>
      </c>
    </row>
    <row r="86">
      <c r="A86" s="13" t="inlineStr">
        <is>
          <t>A063</t>
        </is>
      </c>
      <c r="B86" s="2" t="inlineStr">
        <is>
          <t>Channel mix - own-use / institutional</t>
        </is>
      </c>
      <c r="C86" s="14" t="inlineStr">
        <is>
          <t>% natl volume</t>
        </is>
      </c>
      <c r="D86" s="16" t="n">
        <v>0.05</v>
      </c>
      <c r="E86" s="16" t="n">
        <v>0.04</v>
      </c>
      <c r="F86" s="16" t="n">
        <v>0.06</v>
      </c>
      <c r="I86" s="3" t="inlineStr">
        <is>
          <t>Calthorpe Part 3 [00:03:42] (4-6%; schools, prisons, hospitals, defence, farm own-use)</t>
        </is>
      </c>
      <c r="J86" s="3" t="inlineStr">
        <is>
          <t>11 May 2026</t>
        </is>
      </c>
      <c r="K86" s="3" t="inlineStr">
        <is>
          <t>The slice "most analysts miss" - never touches a retail price point.</t>
        </is>
      </c>
    </row>
    <row r="87">
      <c r="A87" s="13" t="inlineStr">
        <is>
          <t>A064</t>
        </is>
      </c>
      <c r="B87" s="2" t="inlineStr">
        <is>
          <t>Channel mix - direct / farmgate / DTC</t>
        </is>
      </c>
      <c r="C87" s="14" t="inlineStr">
        <is>
          <t>% natl volume</t>
        </is>
      </c>
      <c r="D87" s="16" t="n">
        <v>0.025</v>
      </c>
      <c r="E87" s="16" t="n">
        <v>0.02</v>
      </c>
      <c r="F87" s="16" t="n">
        <v>0.03</v>
      </c>
      <c r="I87" s="3" t="inlineStr">
        <is>
          <t>Calthorpe Part 1 [00:05:38] (2-3%); EPF residual 2-3%</t>
        </is>
      </c>
      <c r="J87" s="3" t="inlineStr">
        <is>
          <t>6 May 2026</t>
        </is>
      </c>
      <c r="K87" s="3" t="inlineStr">
        <is>
          <t>Premium-priced rounding error by volume.</t>
        </is>
      </c>
    </row>
    <row r="88">
      <c r="A88" s="13" t="inlineStr">
        <is>
          <t>A065</t>
        </is>
      </c>
      <c r="B88" s="2" t="inlineStr">
        <is>
          <t>Retail shelf-over-gate markup factor</t>
        </is>
      </c>
      <c r="C88" s="14" t="inlineStr">
        <is>
          <t>x</t>
        </is>
      </c>
      <c r="D88" s="17" t="n">
        <v>1.435</v>
      </c>
      <c r="E88" s="17" t="n">
        <v>1.33</v>
      </c>
      <c r="F88" s="17" t="n">
        <v>1.54</v>
      </c>
      <c r="I88" s="3" t="inlineStr">
        <is>
          <t>Halberd Analytical Standards s.2.3 (divide shelf by 1.33-1.54; do NOT subtract a flat 25-35%); convention confirmed Vivian Slack 5 May; NZCC 2022 grocery-study uplift ~30-35% per Antipodean extract</t>
        </is>
      </c>
      <c r="J88" s="3" t="inlineStr">
        <is>
          <t>Q2 2024 (standards) / 5 May 2026</t>
        </is>
      </c>
      <c r="K88" s="3" t="inlineStr">
        <is>
          <t>Mid-point 1.435 = ~30.3% retailer gross margin equivalent.</t>
        </is>
      </c>
    </row>
    <row r="89">
      <c r="A89" s="13" t="inlineStr">
        <is>
          <t>A066</t>
        </is>
      </c>
      <c r="B89" s="2" t="inlineStr">
        <is>
          <t>Average retail shelf price - FY2023</t>
        </is>
      </c>
      <c r="C89" s="14" t="inlineStr">
        <is>
          <t>NZ$/dozen</t>
        </is>
      </c>
      <c r="D89" s="20" t="n">
        <v>6.51</v>
      </c>
      <c r="I89" s="3" t="inlineStr">
        <is>
          <t>Deal-team calibration consistent with Antipodean FY24 top-down NZ$455M ("average shell-egg retail unit pricing")</t>
        </is>
      </c>
      <c r="J89" s="3" t="inlineStr">
        <is>
          <t>Calibration, May 2026</t>
        </is>
      </c>
      <c r="K89" s="10" t="inlineStr">
        <is>
          <t>CALIBRATION - back-cast from FY24; refresh against scan-data history if licensed.</t>
        </is>
      </c>
    </row>
    <row r="90">
      <c r="A90" s="13" t="inlineStr">
        <is>
          <t>A067</t>
        </is>
      </c>
      <c r="B90" s="2" t="inlineStr">
        <is>
          <t>Average retail shelf price - FY2024</t>
        </is>
      </c>
      <c r="C90" s="14" t="inlineStr">
        <is>
          <t>NZ$/dozen</t>
        </is>
      </c>
      <c r="D90" s="20" t="n">
        <v>6.61</v>
      </c>
      <c r="I90" s="3" t="inlineStr">
        <is>
          <t>Calibration: reproduces the Antipodean / deal-team FY24 top-down NZ$455M given pop 5.22M x 229-227 eggs and markup 1.435</t>
        </is>
      </c>
      <c r="J90" s="3" t="inlineStr">
        <is>
          <t>Calibration, May 2026</t>
        </is>
      </c>
      <c r="K90" s="10" t="inlineStr">
        <is>
          <t>CALIBRATION ANCHOR. Pack-size-weighted average sits below 1-dozen scan prices (multi-packs cheaper/doz; colony-heavier FY24 mix).</t>
        </is>
      </c>
    </row>
    <row r="91">
      <c r="A91" s="13" t="inlineStr">
        <is>
          <t>A068</t>
        </is>
      </c>
      <c r="B91" s="2" t="inlineStr">
        <is>
          <t>Average retail shelf price - FY2025</t>
        </is>
      </c>
      <c r="C91" s="14" t="inlineStr">
        <is>
          <t>NZ$/dozen</t>
        </is>
      </c>
      <c r="D91" s="20" t="n">
        <v>6.71</v>
      </c>
      <c r="I91" s="3" t="inlineStr">
        <is>
          <t>Calibration (+1.5% on FY24)</t>
        </is>
      </c>
      <c r="J91" s="3" t="inlineStr">
        <is>
          <t>Calibration, May 2026</t>
        </is>
      </c>
      <c r="K91" s="10" t="inlineStr">
        <is>
          <t>CALIBRATION.</t>
        </is>
      </c>
    </row>
    <row r="92">
      <c r="A92" s="13" t="inlineStr">
        <is>
          <t>A069</t>
        </is>
      </c>
      <c r="B92" s="2" t="inlineStr">
        <is>
          <t>Forward shelf-price inflation</t>
        </is>
      </c>
      <c r="C92" s="14" t="inlineStr">
        <is>
          <t>% p.a.</t>
        </is>
      </c>
      <c r="D92" s="16" t="n">
        <v>0.015</v>
      </c>
      <c r="I92" s="3" t="inlineStr">
        <is>
          <t>Deal-team assumption (below NZ CPI 2.7%; egg category historically pass-through-driven)</t>
        </is>
      </c>
      <c r="J92" s="3" t="inlineStr">
        <is>
          <t>Assumption, May 2026</t>
        </is>
      </c>
      <c r="K92" s="10" t="inlineStr">
        <is>
          <t>Used only in the retail-lens continuity line on Forecast.</t>
        </is>
      </c>
    </row>
    <row r="93">
      <c r="A93" s="13" t="inlineStr">
        <is>
          <t>A070</t>
        </is>
      </c>
      <c r="B93" s="2" t="inlineStr">
        <is>
          <t>Scan shelf price Q1-26 - colony (1-doz avg)</t>
        </is>
      </c>
      <c r="C93" s="14" t="inlineStr">
        <is>
          <t>NZ$/dozen</t>
        </is>
      </c>
      <c r="D93" s="20" t="n">
        <v>6.86</v>
      </c>
      <c r="I93" s="3" t="inlineStr">
        <is>
          <t>nz_egg_retail_scan_data_q1_2026.xlsx &gt; Pricing (Pak'nSave 6.69 / New World 6.99 / Countdown 6.89)</t>
        </is>
      </c>
      <c r="J93" s="3" t="inlineStr">
        <is>
          <t>Q1 2026 (pulled 4 May 2026)</t>
        </is>
      </c>
      <c r="K93" s="3" t="inlineStr">
        <is>
          <t>Reference rows - scan pricing is the refresh source for shelf calibration.</t>
        </is>
      </c>
    </row>
    <row r="94">
      <c r="A94" s="13" t="inlineStr">
        <is>
          <t>A071</t>
        </is>
      </c>
      <c r="B94" s="2" t="inlineStr">
        <is>
          <t>Scan shelf price Q1-26 - barn (1-doz avg)</t>
        </is>
      </c>
      <c r="C94" s="14" t="inlineStr">
        <is>
          <t>NZ$/dozen</t>
        </is>
      </c>
      <c r="D94" s="20" t="n">
        <v>7.92</v>
      </c>
      <c r="I94" s="3" t="inlineStr">
        <is>
          <t>RetailIQ scan &gt; Pricing (7.59 / 8.19 / 7.99)</t>
        </is>
      </c>
      <c r="J94" s="3" t="inlineStr">
        <is>
          <t>Q1 2026 (pulled 4 May 2026)</t>
        </is>
      </c>
      <c r="K94" s="3" t="inlineStr"/>
    </row>
    <row r="95">
      <c r="A95" s="13" t="inlineStr">
        <is>
          <t>A072</t>
        </is>
      </c>
      <c r="B95" s="2" t="inlineStr">
        <is>
          <t>Scan shelf price Q1-26 - FR commodity (1-doz avg)</t>
        </is>
      </c>
      <c r="C95" s="14" t="inlineStr">
        <is>
          <t>NZ$/dozen</t>
        </is>
      </c>
      <c r="D95" s="20" t="n">
        <v>9.26</v>
      </c>
      <c r="I95" s="3" t="inlineStr">
        <is>
          <t>RetailIQ scan &gt; Pricing (8.79 / 9.59 / 9.39)</t>
        </is>
      </c>
      <c r="J95" s="3" t="inlineStr">
        <is>
          <t>Q1 2026 (pulled 4 May 2026)</t>
        </is>
      </c>
      <c r="K95" s="3" t="inlineStr"/>
    </row>
    <row r="96">
      <c r="A96" s="13" t="inlineStr">
        <is>
          <t>A073</t>
        </is>
      </c>
      <c r="B96" s="2" t="inlineStr">
        <is>
          <t>Scan shelf price Q1-26 - pasture-raised (1-doz avg)</t>
        </is>
      </c>
      <c r="C96" s="14" t="inlineStr">
        <is>
          <t>NZ$/dozen</t>
        </is>
      </c>
      <c r="D96" s="20" t="n">
        <v>14.49</v>
      </c>
      <c r="I96" s="3" t="inlineStr">
        <is>
          <t>RetailIQ scan &gt; Pricing (New World 14.99 / Countdown 13.99)</t>
        </is>
      </c>
      <c r="J96" s="3" t="inlineStr">
        <is>
          <t>Q1 2026 (pulled 4 May 2026)</t>
        </is>
      </c>
      <c r="K96" s="3" t="inlineStr">
        <is>
          <t>Marketing sub-tier within free-range housing (taxonomy note, Vivian Slack 5 May).</t>
        </is>
      </c>
    </row>
    <row r="97">
      <c r="A97" s="13" t="inlineStr">
        <is>
          <t>A074</t>
        </is>
      </c>
      <c r="B97" s="2" t="inlineStr">
        <is>
          <t>Scan retail tier mix Q1-26 - colony</t>
        </is>
      </c>
      <c r="C97" s="14" t="inlineStr">
        <is>
          <t>% retail volume</t>
        </is>
      </c>
      <c r="D97" s="16" t="n">
        <v>0.083</v>
      </c>
      <c r="I97" s="3" t="inlineStr">
        <is>
          <t>RetailIQ scan &gt; Volume (2,065k of 25,000k dozens)</t>
        </is>
      </c>
      <c r="J97" s="3" t="inlineStr">
        <is>
          <t>Q1 2026</t>
        </is>
      </c>
      <c r="K97" s="3" t="inlineStr">
        <is>
          <t>Woolworths NZ already phasing colony out (0% promo; 1.0% of natl retail).</t>
        </is>
      </c>
    </row>
    <row r="98">
      <c r="A98" s="13" t="inlineStr">
        <is>
          <t>A075</t>
        </is>
      </c>
      <c r="B98" s="2" t="inlineStr">
        <is>
          <t>Scan retail tier mix Q1-26 - barn</t>
        </is>
      </c>
      <c r="C98" s="14" t="inlineStr">
        <is>
          <t>% retail volume</t>
        </is>
      </c>
      <c r="D98" s="16" t="n">
        <v>0.273</v>
      </c>
      <c r="I98" s="3" t="inlineStr">
        <is>
          <t>RetailIQ scan &gt; Volume</t>
        </is>
      </c>
      <c r="J98" s="3" t="inlineStr">
        <is>
          <t>Q1 2026</t>
        </is>
      </c>
      <c r="K98" s="3" t="inlineStr"/>
    </row>
    <row r="99">
      <c r="A99" s="13" t="inlineStr">
        <is>
          <t>A076</t>
        </is>
      </c>
      <c r="B99" s="2" t="inlineStr">
        <is>
          <t>Scan retail tier mix Q1-26 - FR commodity</t>
        </is>
      </c>
      <c r="C99" s="14" t="inlineStr">
        <is>
          <t>% retail volume</t>
        </is>
      </c>
      <c r="D99" s="16" t="n">
        <v>0.552</v>
      </c>
      <c r="I99" s="3" t="inlineStr">
        <is>
          <t>RetailIQ scan &gt; Volume</t>
        </is>
      </c>
      <c r="J99" s="3" t="inlineStr">
        <is>
          <t>Q1 2026</t>
        </is>
      </c>
      <c r="K99" s="3" t="inlineStr">
        <is>
          <t>Largest tier-channel cell.</t>
        </is>
      </c>
    </row>
    <row r="100">
      <c r="A100" s="13" t="inlineStr">
        <is>
          <t>A077</t>
        </is>
      </c>
      <c r="B100" s="2" t="inlineStr">
        <is>
          <t>Scan retail tier mix Q1-26 - pasture-raised premium</t>
        </is>
      </c>
      <c r="C100" s="14" t="inlineStr">
        <is>
          <t>% retail volume</t>
        </is>
      </c>
      <c r="D100" s="16" t="n">
        <v>0.091</v>
      </c>
      <c r="I100" s="3" t="inlineStr">
        <is>
          <t>RetailIQ scan &gt; Volume</t>
        </is>
      </c>
      <c r="J100" s="3" t="inlineStr">
        <is>
          <t>Q1 2026</t>
        </is>
      </c>
      <c r="K100" s="3" t="inlineStr"/>
    </row>
    <row r="101">
      <c r="A101" s="13" t="inlineStr">
        <is>
          <t>A078</t>
        </is>
      </c>
      <c r="B101" s="2" t="inlineStr">
        <is>
          <t>Producer gate - free-range commodity (retail)</t>
        </is>
      </c>
      <c r="C101" s="14" t="inlineStr">
        <is>
          <t>NZ$/dozen</t>
        </is>
      </c>
      <c r="D101" s="20" t="n">
        <v>5.4</v>
      </c>
      <c r="E101" s="20" t="n">
        <v>5.2</v>
      </c>
      <c r="F101" s="20" t="n">
        <v>5.6</v>
      </c>
      <c r="I101" s="3" t="inlineStr">
        <is>
          <t>Calthorpe Part 4 [00:01:10] (transaction-price evidence, FY26)</t>
        </is>
      </c>
      <c r="J101" s="3" t="inlineStr">
        <is>
          <t>13 May 2026</t>
        </is>
      </c>
      <c r="K101" s="3" t="inlineStr">
        <is>
          <t>Branded gate; private-label FR gate 12-18% lower (NZ$4.55-4.85) - Aurora ~50/50 brand/PL.</t>
        </is>
      </c>
    </row>
    <row r="102">
      <c r="A102" s="13" t="inlineStr">
        <is>
          <t>A079</t>
        </is>
      </c>
      <c r="B102" s="2" t="inlineStr">
        <is>
          <t>Producer gate - barn (retail)</t>
        </is>
      </c>
      <c r="C102" s="14" t="inlineStr">
        <is>
          <t>NZ$/dozen</t>
        </is>
      </c>
      <c r="D102" s="20" t="n">
        <v>4.5</v>
      </c>
      <c r="E102" s="20" t="n">
        <v>4.4</v>
      </c>
      <c r="F102" s="20" t="n">
        <v>4.6</v>
      </c>
      <c r="I102" s="3" t="inlineStr">
        <is>
          <t>Calthorpe Part 4 [00:04:14]</t>
        </is>
      </c>
      <c r="J102" s="3" t="inlineStr">
        <is>
          <t>13 May 2026</t>
        </is>
      </c>
      <c r="K102" s="3" t="inlineStr"/>
    </row>
    <row r="103">
      <c r="A103" s="13" t="inlineStr">
        <is>
          <t>A080</t>
        </is>
      </c>
      <c r="B103" s="2" t="inlineStr">
        <is>
          <t>Producer gate - colony (retail)</t>
        </is>
      </c>
      <c r="C103" s="14" t="inlineStr">
        <is>
          <t>NZ$/dozen</t>
        </is>
      </c>
      <c r="D103" s="20" t="n">
        <v>3.4</v>
      </c>
      <c r="E103" s="20" t="n">
        <v>3.3</v>
      </c>
      <c r="F103" s="20" t="n">
        <v>3.5</v>
      </c>
      <c r="I103" s="3" t="inlineStr">
        <is>
          <t>Calthorpe Part 4 [00:04:14]</t>
        </is>
      </c>
      <c r="J103" s="3" t="inlineStr">
        <is>
          <t>13 May 2026</t>
        </is>
      </c>
      <c r="K103" s="3" t="inlineStr">
        <is>
          <t>Thinnest absolute-margin tier (EBITDA NZ$0.35-0.50/doz).</t>
        </is>
      </c>
    </row>
    <row r="104">
      <c r="A104" s="13" t="inlineStr">
        <is>
          <t>A081</t>
        </is>
      </c>
      <c r="B104" s="2" t="inlineStr">
        <is>
          <t>Producer gate - foodservice</t>
        </is>
      </c>
      <c r="C104" s="14" t="inlineStr">
        <is>
          <t>NZ$/dozen</t>
        </is>
      </c>
      <c r="D104" s="20" t="n">
        <v>4</v>
      </c>
      <c r="E104" s="20" t="n">
        <v>3.8</v>
      </c>
      <c r="F104" s="20" t="n">
        <v>4.2</v>
      </c>
      <c r="I104" s="3" t="inlineStr">
        <is>
          <t>Calthorpe Part 4 [00:08:18] (barn product into foodservice; Bidfood/Gilmours +12-18% on top)</t>
        </is>
      </c>
      <c r="J104" s="3" t="inlineStr">
        <is>
          <t>13 May 2026</t>
        </is>
      </c>
      <c r="K104" s="3" t="inlineStr">
        <is>
          <t>Standards s.2.3: foodservice gate typically 10-15% below retail wholesale - holds here.</t>
        </is>
      </c>
    </row>
    <row r="105">
      <c r="A105" s="13" t="inlineStr">
        <is>
          <t>A082</t>
        </is>
      </c>
      <c r="B105" s="2" t="inlineStr">
        <is>
          <t>Producer gate - industrial / processor</t>
        </is>
      </c>
      <c r="C105" s="14" t="inlineStr">
        <is>
          <t>NZ$/dozen</t>
        </is>
      </c>
      <c r="D105" s="20" t="n">
        <v>3.4</v>
      </c>
      <c r="E105" s="20" t="n">
        <v>3.2</v>
      </c>
      <c r="F105" s="20" t="n">
        <v>3.6</v>
      </c>
      <c r="I105" s="3" t="inlineStr">
        <is>
          <t>Calthorpe Part 4 [00:10:24]; breaker stacks +10-15%</t>
        </is>
      </c>
      <c r="J105" s="3" t="inlineStr">
        <is>
          <t>13 May 2026</t>
        </is>
      </c>
      <c r="K105" s="3" t="inlineStr"/>
    </row>
    <row r="106">
      <c r="A106" s="13" t="inlineStr">
        <is>
          <t>A083</t>
        </is>
      </c>
      <c r="B106" s="2" t="inlineStr">
        <is>
          <t>Producer gate - own-use / institutional (est.)</t>
        </is>
      </c>
      <c r="C106" s="14" t="inlineStr">
        <is>
          <t>NZ$/dozen</t>
        </is>
      </c>
      <c r="D106" s="20" t="n">
        <v>3.2</v>
      </c>
      <c r="E106" s="20" t="n">
        <v>3</v>
      </c>
      <c r="F106" s="20" t="n">
        <v>3.4</v>
      </c>
      <c r="I106" s="3" t="inlineStr">
        <is>
          <t>Deal-team estimate at industrial floor (no published price point - never touches retail)</t>
        </is>
      </c>
      <c r="J106" s="3" t="inlineStr">
        <is>
          <t>Estimate, May 2026</t>
        </is>
      </c>
      <c r="K106" s="10" t="inlineStr">
        <is>
          <t>ESTIMATE.</t>
        </is>
      </c>
    </row>
    <row r="107">
      <c r="A107" s="13" t="inlineStr">
        <is>
          <t>A084</t>
        </is>
      </c>
      <c r="B107" s="2" t="inlineStr">
        <is>
          <t>Producer gate - direct / DTC (est.)</t>
        </is>
      </c>
      <c r="C107" s="14" t="inlineStr">
        <is>
          <t>NZ$/dozen</t>
        </is>
      </c>
      <c r="D107" s="20" t="n">
        <v>12</v>
      </c>
      <c r="E107" s="20" t="n">
        <v>10</v>
      </c>
      <c r="F107" s="20" t="n">
        <v>14</v>
      </c>
      <c r="I107" s="3" t="inlineStr">
        <is>
          <t>Standards s.2.3 (direct 40-60% above retail shelf for premium tier) applied to scan premium shelf</t>
        </is>
      </c>
      <c r="J107" s="3" t="inlineStr">
        <is>
          <t>Q2 2024 / Q1 2026</t>
        </is>
      </c>
      <c r="K107" s="10" t="inlineStr">
        <is>
          <t>ESTIMATE.</t>
        </is>
      </c>
    </row>
    <row r="108">
      <c r="A108" s="13" t="inlineStr">
        <is>
          <t>A085</t>
        </is>
      </c>
      <c r="B108" s="2" t="inlineStr">
        <is>
          <t>Producer gate - pasture-raised premium (retail)</t>
        </is>
      </c>
      <c r="C108" s="14" t="inlineStr">
        <is>
          <t>NZ$/dozen</t>
        </is>
      </c>
      <c r="D108" s="20" t="n">
        <v>10.1</v>
      </c>
      <c r="I108" s="3" t="inlineStr">
        <is>
          <t>Scan premium shelf NZ$14.49 / markup 1.435</t>
        </is>
      </c>
      <c r="J108" s="3" t="inlineStr">
        <is>
          <t>Q1 2026 derived</t>
        </is>
      </c>
      <c r="K108" s="3" t="inlineStr">
        <is>
          <t>Pasture-raised commands 50%+ over commodity barn (Calthorpe Part 2 [00:12:40]).</t>
        </is>
      </c>
    </row>
    <row r="109">
      <c r="A109" s="13" t="inlineStr">
        <is>
          <t>A086</t>
        </is>
      </c>
      <c r="B109" s="2" t="inlineStr">
        <is>
          <t>Blended producer gate - all channels (bottom-up)</t>
        </is>
      </c>
      <c r="C109" s="14" t="inlineStr">
        <is>
          <t>NZ$/dozen</t>
        </is>
      </c>
      <c r="D109" s="20" t="n">
        <v>6.4</v>
      </c>
      <c r="I109" s="3" t="inlineStr">
        <is>
          <t>Implied by Calthorpe Part 3 [00:01:54] bottom-up: NZ$535-545M / (3.75M hens x 300 x 90% /12); Aurora FY24 realised NZ$6.46/doz (84.6/13.1) corroborates</t>
        </is>
      </c>
      <c r="J109" s="3" t="inlineStr">
        <is>
          <t>11 May 2026</t>
        </is>
      </c>
      <c r="K109" s="10" t="inlineStr">
        <is>
          <t>CALIBRATION ANCHOR. Sits ABOVE the Part 4 channel-gate build (~NZ$5.1-5.2/doz -&gt; ~NZ$430-440M) - spread surfaced on Historical tab; confirmatory pricing question. Market-size LEVELS scale linearly with this input; growth rates / scenario deltas are robust to it.</t>
        </is>
      </c>
    </row>
    <row r="110">
      <c r="A110" s="13" t="inlineStr">
        <is>
          <t>A087</t>
        </is>
      </c>
      <c r="B110" s="2" t="inlineStr">
        <is>
          <t>Commodity gate inflation (colony/barn/premium)</t>
        </is>
      </c>
      <c r="C110" s="14" t="inlineStr">
        <is>
          <t>% p.a.</t>
        </is>
      </c>
      <c r="D110" s="16" t="n">
        <v>0.015</v>
      </c>
      <c r="I110" s="3" t="inlineStr">
        <is>
          <t>Deal-team assumption: below NZ CPI 2.7% (feed/energy pass-through lag, retailer buying power)</t>
        </is>
      </c>
      <c r="J110" s="3" t="inlineStr">
        <is>
          <t>Assumption, May 2026</t>
        </is>
      </c>
      <c r="K110" s="10" t="inlineStr">
        <is>
          <t>ASSUMPTION.</t>
        </is>
      </c>
    </row>
    <row r="111">
      <c r="A111" s="13" t="inlineStr">
        <is>
          <t>A088</t>
        </is>
      </c>
      <c r="B111" s="2" t="inlineStr">
        <is>
          <t>Free-range premium over barn - historical</t>
        </is>
      </c>
      <c r="C111" s="14" t="inlineStr">
        <is>
          <t>% over barn gate</t>
        </is>
      </c>
      <c r="D111" s="19" t="n">
        <v>0.3</v>
      </c>
      <c r="I111" s="3" t="inlineStr">
        <is>
          <t>Marsden [00:11:42] (~30% late-2010s); broker/IM claims "30%+ continuing"; EU precedent 25-35% pre-compression (global_cagefree_transition_snapshot.pdf)</t>
        </is>
      </c>
      <c r="J111" s="3" t="inlineStr">
        <is>
          <t>Historical era</t>
        </is>
      </c>
      <c r="K111" s="10" t="inlineStr">
        <is>
          <t>HISTORICAL ONLY - the 30%+ forward claim is contested; do not use forward (Vivian must-test #1).</t>
        </is>
      </c>
    </row>
    <row r="112">
      <c r="A112" s="13" t="inlineStr">
        <is>
          <t>A089</t>
        </is>
      </c>
      <c r="B112" s="2" t="inlineStr">
        <is>
          <t>Own-price elasticity - colony</t>
        </is>
      </c>
      <c r="C112" s="14" t="inlineStr">
        <is>
          <t>x</t>
        </is>
      </c>
      <c r="D112" s="6" t="n">
        <v>-0.42</v>
      </c>
      <c r="I112" s="3" t="inlineStr">
        <is>
          <t>RetailIQ scan &gt; Elasticity (13-wk panel; se 0.18 **)</t>
        </is>
      </c>
      <c r="J112" s="3" t="inlineStr">
        <is>
          <t>Q1 2026</t>
        </is>
      </c>
      <c r="K112" s="3" t="inlineStr">
        <is>
          <t>Inelastic value tier.</t>
        </is>
      </c>
    </row>
    <row r="113">
      <c r="A113" s="13" t="inlineStr">
        <is>
          <t>A090</t>
        </is>
      </c>
      <c r="B113" s="2" t="inlineStr">
        <is>
          <t>Own-price elasticity - barn</t>
        </is>
      </c>
      <c r="C113" s="14" t="inlineStr">
        <is>
          <t>x</t>
        </is>
      </c>
      <c r="D113" s="6" t="n">
        <v>-0.8100000000000001</v>
      </c>
      <c r="I113" s="3" t="inlineStr">
        <is>
          <t>RetailIQ scan &gt; Elasticity (se 0.21 **)</t>
        </is>
      </c>
      <c r="J113" s="3" t="inlineStr">
        <is>
          <t>Q1 2026</t>
        </is>
      </c>
      <c r="K113" s="3" t="inlineStr"/>
    </row>
    <row r="114">
      <c r="A114" s="13" t="inlineStr">
        <is>
          <t>A091</t>
        </is>
      </c>
      <c r="B114" s="2" t="inlineStr">
        <is>
          <t>Own-price elasticity - FR commodity</t>
        </is>
      </c>
      <c r="C114" s="14" t="inlineStr">
        <is>
          <t>x</t>
        </is>
      </c>
      <c r="D114" s="6" t="n">
        <v>-1.34</v>
      </c>
      <c r="I114" s="3" t="inlineStr">
        <is>
          <t>RetailIQ scan &gt; Elasticity (se 0.19 **)</t>
        </is>
      </c>
      <c r="J114" s="3" t="inlineStr">
        <is>
          <t>Q1 2026</t>
        </is>
      </c>
      <c r="K114" s="3" t="inlineStr">
        <is>
          <t>Elastic - promo-driven; supports premium-compression mechanics.</t>
        </is>
      </c>
    </row>
    <row r="115">
      <c r="A115" s="13" t="inlineStr">
        <is>
          <t>A092</t>
        </is>
      </c>
      <c r="B115" s="2" t="inlineStr">
        <is>
          <t>Own-price elasticity - pasture-raised premium</t>
        </is>
      </c>
      <c r="C115" s="14" t="inlineStr">
        <is>
          <t>x</t>
        </is>
      </c>
      <c r="D115" s="6" t="n">
        <v>-0.5600000000000001</v>
      </c>
      <c r="I115" s="3" t="inlineStr">
        <is>
          <t>RetailIQ scan &gt; Elasticity (se 0.27 *)</t>
        </is>
      </c>
      <c r="J115" s="3" t="inlineStr">
        <is>
          <t>Q1 2026</t>
        </is>
      </c>
      <c r="K115" s="3" t="inlineStr">
        <is>
          <t>Premium tier largely independent of commodity tiers.</t>
        </is>
      </c>
    </row>
    <row r="116">
      <c r="A116" s="13" t="inlineStr">
        <is>
          <t>A093</t>
        </is>
      </c>
      <c r="B116" s="2" t="inlineStr">
        <is>
          <t>Cross-price elasticity barn &lt;-&gt; FR commodity</t>
        </is>
      </c>
      <c r="C116" s="14" t="inlineStr">
        <is>
          <t>x</t>
        </is>
      </c>
      <c r="D116" s="6" t="n">
        <v>0.62</v>
      </c>
      <c r="E116" s="6" t="n">
        <v>0.62</v>
      </c>
      <c r="F116" s="6" t="n">
        <v>0.71</v>
      </c>
      <c r="I116" s="3" t="inlineStr">
        <is>
          <t>RetailIQ scan &gt; Elasticity matrix (+0.62 / +0.71 **)</t>
        </is>
      </c>
      <c r="J116" s="3" t="inlineStr">
        <is>
          <t>Q1 2026</t>
        </is>
      </c>
      <c r="K116" s="3" t="inlineStr">
        <is>
          <t>Largest substitution pair - the channel through which barn supply growth compresses the FR premium.</t>
        </is>
      </c>
    </row>
    <row r="117"/>
    <row r="118">
      <c r="A118" s="4" t="inlineStr">
        <is>
          <t>F.  AURORA EGGS - FLOCK, FINANCIALS &amp; CONVERSION PROGRAMME  (privately held; additive to public roster)</t>
        </is>
      </c>
      <c r="B118" s="4" t="n"/>
      <c r="C118" s="4" t="n"/>
      <c r="D118" s="4" t="n"/>
      <c r="E118" s="4" t="n"/>
      <c r="F118" s="4" t="n"/>
      <c r="G118" s="4" t="n"/>
      <c r="H118" s="4" t="n"/>
      <c r="I118" s="4" t="n"/>
      <c r="J118" s="4" t="n"/>
      <c r="K118" s="4" t="n"/>
    </row>
    <row r="119">
      <c r="A119" s="11" t="inlineStr">
        <is>
          <t>Ref</t>
        </is>
      </c>
      <c r="B119" s="11" t="inlineStr">
        <is>
          <t>Parameter</t>
        </is>
      </c>
      <c r="C119" s="11" t="inlineStr">
        <is>
          <t>Unit</t>
        </is>
      </c>
      <c r="D119" s="12" t="inlineStr">
        <is>
          <t>Value</t>
        </is>
      </c>
      <c r="E119" s="12" t="inlineStr">
        <is>
          <t>Low</t>
        </is>
      </c>
      <c r="F119" s="12" t="inlineStr">
        <is>
          <t>High</t>
        </is>
      </c>
      <c r="G119" s="12" t="inlineStr"/>
      <c r="H119" s="12" t="inlineStr"/>
      <c r="I119" s="11" t="inlineStr">
        <is>
          <t>Source (file / section)</t>
        </is>
      </c>
      <c r="J119" s="11" t="inlineStr">
        <is>
          <t>Vintage</t>
        </is>
      </c>
      <c r="K119" s="11" t="inlineStr">
        <is>
          <t>Notes</t>
        </is>
      </c>
    </row>
    <row r="120">
      <c r="A120" s="13" t="inlineStr">
        <is>
          <t>A201</t>
        </is>
      </c>
      <c r="B120" s="2" t="inlineStr">
        <is>
          <t>Aurora layer flock</t>
        </is>
      </c>
      <c r="C120" s="14" t="inlineStr">
        <is>
          <t>hens</t>
        </is>
      </c>
      <c r="D120" s="18" t="n">
        <v>610000</v>
      </c>
      <c r="I120" s="3" t="inlineStr">
        <is>
          <t>broker_outreach_aurora.eml (Tasman Mercantile, N. Chen); aurora_eggs_website_snapshot.html ("~610,000"); Calthorpe Part 3 [00:09:24]</t>
        </is>
      </c>
      <c r="J120" s="3" t="inlineStr">
        <is>
          <t>20 Apr 2026 / May 2026</t>
        </is>
      </c>
      <c r="K120" s="3" t="inlineStr">
        <is>
          <t>Two sites: Waikato (NI) + Canterbury Plains nr Christchurch (SI).</t>
        </is>
      </c>
    </row>
    <row r="121">
      <c r="A121" s="13" t="inlineStr">
        <is>
          <t>A202</t>
        </is>
      </c>
      <c r="B121" s="2" t="inlineStr">
        <is>
          <t>Aurora system mix - colony</t>
        </is>
      </c>
      <c r="C121" s="14" t="inlineStr">
        <is>
          <t>% of flock</t>
        </is>
      </c>
      <c r="D121" s="19" t="n">
        <v>0.4</v>
      </c>
      <c r="I121" s="3" t="inlineStr">
        <is>
          <t>broker_outreach_aurora.eml (Tasman Mercantile, N. Chen); Calthorpe Part 1 [00:09:55] (Mark McKenna, ~1yr ago)</t>
        </is>
      </c>
      <c r="J121" s="3" t="inlineStr">
        <is>
          <t>20 Apr 2026</t>
        </is>
      </c>
      <c r="K121" s="3" t="inlineStr">
        <is>
          <t>Largest single colony block of named top-6 - the deal-defining exposure.</t>
        </is>
      </c>
    </row>
    <row r="122">
      <c r="A122" s="13" t="inlineStr">
        <is>
          <t>A203</t>
        </is>
      </c>
      <c r="B122" s="2" t="inlineStr">
        <is>
          <t>Aurora system mix - barn</t>
        </is>
      </c>
      <c r="C122" s="14" t="inlineStr">
        <is>
          <t>% of flock</t>
        </is>
      </c>
      <c r="D122" s="19" t="n">
        <v>0.3</v>
      </c>
      <c r="I122" s="3" t="inlineStr">
        <is>
          <t>Same</t>
        </is>
      </c>
      <c r="J122" s="3" t="inlineStr">
        <is>
          <t>20 Apr 2026</t>
        </is>
      </c>
      <c r="K122" s="3" t="inlineStr"/>
    </row>
    <row r="123">
      <c r="A123" s="13" t="inlineStr">
        <is>
          <t>A204</t>
        </is>
      </c>
      <c r="B123" s="2" t="inlineStr">
        <is>
          <t>Aurora system mix - free-range</t>
        </is>
      </c>
      <c r="C123" s="14" t="inlineStr">
        <is>
          <t>% of flock</t>
        </is>
      </c>
      <c r="D123" s="19" t="n">
        <v>0.3</v>
      </c>
      <c r="I123" s="3" t="inlineStr">
        <is>
          <t>Same</t>
        </is>
      </c>
      <c r="J123" s="3" t="inlineStr">
        <is>
          <t>20 Apr 2026</t>
        </is>
      </c>
      <c r="K123" s="3" t="inlineStr">
        <is>
          <t>Commodity-tier FR (not pasture-raised); small Heritage Range pasture SKU ~2% of revenue.</t>
        </is>
      </c>
    </row>
    <row r="124">
      <c r="A124" s="13" t="inlineStr">
        <is>
          <t>A205</t>
        </is>
      </c>
      <c r="B124" s="2" t="inlineStr">
        <is>
          <t>Aurora revenue - FY22A</t>
        </is>
      </c>
      <c r="C124" s="14" t="inlineStr">
        <is>
          <t>NZ$M</t>
        </is>
      </c>
      <c r="D124" s="21" t="n">
        <v>76.5</v>
      </c>
      <c r="I124" s="3" t="inlineStr">
        <is>
          <t>aurora_eggs_information_memorandum_draft.pdf (Anchor Bay, Draft v0.4) s.2</t>
        </is>
      </c>
      <c r="J124" s="3" t="inlineStr">
        <is>
          <t>28 Feb 2026</t>
        </is>
      </c>
      <c r="K124" s="3" t="inlineStr">
        <is>
          <t>Management accounts, unaudited.</t>
        </is>
      </c>
    </row>
    <row r="125">
      <c r="A125" s="13" t="inlineStr">
        <is>
          <t>A206</t>
        </is>
      </c>
      <c r="B125" s="2" t="inlineStr">
        <is>
          <t>Aurora revenue - FY23A</t>
        </is>
      </c>
      <c r="C125" s="14" t="inlineStr">
        <is>
          <t>NZ$M</t>
        </is>
      </c>
      <c r="D125" s="21" t="n">
        <v>80.09999999999999</v>
      </c>
      <c r="I125" s="3" t="inlineStr">
        <is>
          <t>aurora_eggs_information_memorandum_draft.pdf (Anchor Bay, Draft v0.4) s.2</t>
        </is>
      </c>
      <c r="J125" s="3" t="inlineStr">
        <is>
          <t>28 Feb 2026</t>
        </is>
      </c>
      <c r="K125" s="3" t="inlineStr"/>
    </row>
    <row r="126">
      <c r="A126" s="13" t="inlineStr">
        <is>
          <t>A207</t>
        </is>
      </c>
      <c r="B126" s="2" t="inlineStr">
        <is>
          <t>Aurora revenue - FY24A</t>
        </is>
      </c>
      <c r="C126" s="14" t="inlineStr">
        <is>
          <t>NZ$M</t>
        </is>
      </c>
      <c r="D126" s="21" t="n">
        <v>84.59999999999999</v>
      </c>
      <c r="I126" s="3" t="inlineStr">
        <is>
          <t>aurora_eggs_information_memorandum_draft.pdf (Anchor Bay, Draft v0.4) s.2; matches broker outreach + pipeline tracker</t>
        </is>
      </c>
      <c r="J126" s="3" t="inlineStr">
        <is>
          <t>28 Feb 2026</t>
        </is>
      </c>
      <c r="K126" s="3" t="inlineStr">
        <is>
          <t>Calthorpe Part 1 [00:13:17]: revenue consistent with volume x price x mix.</t>
        </is>
      </c>
    </row>
    <row r="127">
      <c r="A127" s="13" t="inlineStr">
        <is>
          <t>A208</t>
        </is>
      </c>
      <c r="B127" s="2" t="inlineStr">
        <is>
          <t>Aurora EBITDA - FY22A</t>
        </is>
      </c>
      <c r="C127" s="14" t="inlineStr">
        <is>
          <t>NZ$M</t>
        </is>
      </c>
      <c r="D127" s="21" t="n">
        <v>8.9</v>
      </c>
      <c r="I127" s="3" t="inlineStr">
        <is>
          <t>aurora_eggs_information_memorandum_draft.pdf (Anchor Bay, Draft v0.4) s.2</t>
        </is>
      </c>
      <c r="J127" s="3" t="inlineStr">
        <is>
          <t>28 Feb 2026</t>
        </is>
      </c>
      <c r="K127" s="3" t="inlineStr">
        <is>
          <t>11.6% margin.</t>
        </is>
      </c>
    </row>
    <row r="128">
      <c r="A128" s="13" t="inlineStr">
        <is>
          <t>A209</t>
        </is>
      </c>
      <c r="B128" s="2" t="inlineStr">
        <is>
          <t>Aurora EBITDA - FY23A</t>
        </is>
      </c>
      <c r="C128" s="14" t="inlineStr">
        <is>
          <t>NZ$M</t>
        </is>
      </c>
      <c r="D128" s="21" t="n">
        <v>9.699999999999999</v>
      </c>
      <c r="I128" s="3" t="inlineStr">
        <is>
          <t>aurora_eggs_information_memorandum_draft.pdf (Anchor Bay, Draft v0.4) s.2</t>
        </is>
      </c>
      <c r="J128" s="3" t="inlineStr">
        <is>
          <t>28 Feb 2026</t>
        </is>
      </c>
      <c r="K128" s="3" t="inlineStr">
        <is>
          <t>12.1% margin.</t>
        </is>
      </c>
    </row>
    <row r="129">
      <c r="A129" s="13" t="inlineStr">
        <is>
          <t>A210</t>
        </is>
      </c>
      <c r="B129" s="2" t="inlineStr">
        <is>
          <t>Aurora EBITDA - FY24A (reported)</t>
        </is>
      </c>
      <c r="C129" s="14" t="inlineStr">
        <is>
          <t>NZ$M</t>
        </is>
      </c>
      <c r="D129" s="21" t="n">
        <v>10.8</v>
      </c>
      <c r="I129" s="3" t="inlineStr">
        <is>
          <t>aurora_eggs_information_memorandum_draft.pdf (Anchor Bay, Draft v0.4) s.2; broker outreach</t>
        </is>
      </c>
      <c r="J129" s="3" t="inlineStr">
        <is>
          <t>28 Feb 2026</t>
        </is>
      </c>
      <c r="K129" s="3" t="inlineStr">
        <is>
          <t>12.8% margin - high side of industry 8-15% (cluster 10-12%); Calthorpe Part 1 [00:13:17].</t>
        </is>
      </c>
    </row>
    <row r="130">
      <c r="A130" s="13" t="inlineStr">
        <is>
          <t>A211</t>
        </is>
      </c>
      <c r="B130" s="2" t="inlineStr">
        <is>
          <t>Aurora EBITDA - FY24 "Adjusted" (sell-side)</t>
        </is>
      </c>
      <c r="C130" s="14" t="inlineStr">
        <is>
          <t>NZ$M</t>
        </is>
      </c>
      <c r="D130" s="21" t="n">
        <v>12.6</v>
      </c>
      <c r="I130" s="3" t="inlineStr">
        <is>
          <t>aurora_eggs_information_memorandum_draft.pdf (Anchor Bay, Draft v0.4) s.2 (14.9% margin; addback schedule in data room only)</t>
        </is>
      </c>
      <c r="J130" s="3" t="inlineStr">
        <is>
          <t>28 Feb 2026</t>
        </is>
      </c>
      <c r="K130" s="10" t="inlineStr">
        <is>
          <t>CONTESTED - unaudited addbacks; Pacific Agri briefing: &gt;13% margins must be examined for addbacks. Model uses reported 10.8.</t>
        </is>
      </c>
    </row>
    <row r="131">
      <c r="A131" s="13" t="inlineStr">
        <is>
          <t>A212</t>
        </is>
      </c>
      <c r="B131" s="2" t="inlineStr">
        <is>
          <t>Aurora volume - FY22A</t>
        </is>
      </c>
      <c r="C131" s="14" t="inlineStr">
        <is>
          <t>M dozen</t>
        </is>
      </c>
      <c r="D131" s="21" t="n">
        <v>11.8</v>
      </c>
      <c r="I131" s="3" t="inlineStr">
        <is>
          <t>aurora_eggs_information_memorandum_draft.pdf (Anchor Bay, Draft v0.4) s.2</t>
        </is>
      </c>
      <c r="J131" s="3" t="inlineStr">
        <is>
          <t>28 Feb 2026</t>
        </is>
      </c>
      <c r="K131" s="3" t="inlineStr"/>
    </row>
    <row r="132">
      <c r="A132" s="13" t="inlineStr">
        <is>
          <t>A213</t>
        </is>
      </c>
      <c r="B132" s="2" t="inlineStr">
        <is>
          <t>Aurora volume - FY23A</t>
        </is>
      </c>
      <c r="C132" s="14" t="inlineStr">
        <is>
          <t>M dozen</t>
        </is>
      </c>
      <c r="D132" s="21" t="n">
        <v>12.4</v>
      </c>
      <c r="I132" s="3" t="inlineStr">
        <is>
          <t>aurora_eggs_information_memorandum_draft.pdf (Anchor Bay, Draft v0.4) s.2</t>
        </is>
      </c>
      <c r="J132" s="3" t="inlineStr">
        <is>
          <t>28 Feb 2026</t>
        </is>
      </c>
      <c r="K132" s="3" t="inlineStr"/>
    </row>
    <row r="133">
      <c r="A133" s="13" t="inlineStr">
        <is>
          <t>A214</t>
        </is>
      </c>
      <c r="B133" s="2" t="inlineStr">
        <is>
          <t>Aurora volume - FY24A</t>
        </is>
      </c>
      <c r="C133" s="14" t="inlineStr">
        <is>
          <t>M dozen</t>
        </is>
      </c>
      <c r="D133" s="21" t="n">
        <v>13.1</v>
      </c>
      <c r="I133" s="3" t="inlineStr">
        <is>
          <t>aurora_eggs_information_memorandum_draft.pdf (Anchor Bay, Draft v0.4) s.2</t>
        </is>
      </c>
      <c r="J133" s="3" t="inlineStr">
        <is>
          <t>28 Feb 2026</t>
        </is>
      </c>
      <c r="K133" s="3" t="inlineStr">
        <is>
          <t>Implies NZ$6.46/doz realised - corroborates the NZ$6.40 blended-gate anchor.</t>
        </is>
      </c>
    </row>
    <row r="134">
      <c r="A134" s="13" t="inlineStr">
        <is>
          <t>A215</t>
        </is>
      </c>
      <c r="B134" s="2" t="inlineStr">
        <is>
          <t>Aurora volume share (bottom-up basis)</t>
        </is>
      </c>
      <c r="C134" s="14" t="inlineStr">
        <is>
          <t>% natl volume</t>
        </is>
      </c>
      <c r="D134" s="19" t="n">
        <v>0.18</v>
      </c>
      <c r="E134" s="19" t="n">
        <v>0.17</v>
      </c>
      <c r="F134" s="19" t="n">
        <v>0.19</v>
      </c>
      <c r="I134" s="3" t="inlineStr">
        <is>
          <t>Calthorpe Part 2 central [00:25:48]; triangulation spread 16-18% surfaced on Historical tab</t>
        </is>
      </c>
      <c r="J134" s="3" t="inlineStr">
        <is>
          <t>8 May 2026</t>
        </is>
      </c>
      <c r="K134" s="3" t="inlineStr">
        <is>
          <t>WORKING ANCHOR (=A-section roster row).</t>
        </is>
      </c>
    </row>
    <row r="135">
      <c r="A135" s="13" t="inlineStr">
        <is>
          <t>A216</t>
        </is>
      </c>
      <c r="B135" s="2" t="inlineStr">
        <is>
          <t>Aurora retail-channel share (top-down basis)</t>
        </is>
      </c>
      <c r="C135" s="14" t="inlineStr">
        <is>
          <t>% retail channel</t>
        </is>
      </c>
      <c r="D135" s="16" t="n">
        <v>0.225</v>
      </c>
      <c r="E135" s="16" t="n">
        <v>0.22</v>
      </c>
      <c r="F135" s="16" t="n">
        <v>0.23</v>
      </c>
      <c r="I135" s="3" t="inlineStr">
        <is>
          <t>Calthorpe Part 3 [00:07:10]: "22-23% retail share - they look bigger from the retail lens"</t>
        </is>
      </c>
      <c r="J135" s="3" t="inlineStr">
        <is>
          <t>11 May 2026</t>
        </is>
      </c>
      <c r="K135" s="3" t="inlineStr">
        <is>
          <t>Standards s.2.1(c): volume share from bottom-up; retail share from top-down.</t>
        </is>
      </c>
    </row>
    <row r="136">
      <c r="A136" s="13" t="inlineStr">
        <is>
          <t>A217</t>
        </is>
      </c>
      <c r="B136" s="2" t="inlineStr">
        <is>
          <t>Aurora channel mix - retail</t>
        </is>
      </c>
      <c r="C136" s="14" t="inlineStr">
        <is>
          <t>% revenue</t>
        </is>
      </c>
      <c r="D136" s="19" t="n">
        <v>0.72</v>
      </c>
      <c r="I136" s="3" t="inlineStr">
        <is>
          <t>Calthorpe Part 2 [00:29:42] (72/22/5/~1); broker ~70/25/5</t>
        </is>
      </c>
      <c r="J136" s="3" t="inlineStr">
        <is>
          <t>8 May 2026</t>
        </is>
      </c>
      <c r="K136" s="3" t="inlineStr">
        <is>
          <t>Heavier retail than industry avg.</t>
        </is>
      </c>
    </row>
    <row r="137">
      <c r="A137" s="13" t="inlineStr">
        <is>
          <t>A218</t>
        </is>
      </c>
      <c r="B137" s="2" t="inlineStr">
        <is>
          <t>Aurora channel mix - foodservice</t>
        </is>
      </c>
      <c r="C137" s="14" t="inlineStr">
        <is>
          <t>% revenue</t>
        </is>
      </c>
      <c r="D137" s="19" t="n">
        <v>0.22</v>
      </c>
      <c r="I137" s="3" t="inlineStr">
        <is>
          <t>Same</t>
        </is>
      </c>
      <c r="J137" s="3" t="inlineStr">
        <is>
          <t>8 May 2026</t>
        </is>
      </c>
      <c r="K137" s="3" t="inlineStr">
        <is>
          <t>Mid-tier hospitality accounts; diversified.</t>
        </is>
      </c>
    </row>
    <row r="138">
      <c r="A138" s="13" t="inlineStr">
        <is>
          <t>A219</t>
        </is>
      </c>
      <c r="B138" s="2" t="inlineStr">
        <is>
          <t>Aurora channel mix - industrial</t>
        </is>
      </c>
      <c r="C138" s="14" t="inlineStr">
        <is>
          <t>% revenue</t>
        </is>
      </c>
      <c r="D138" s="19" t="n">
        <v>0.05</v>
      </c>
      <c r="I138" s="3" t="inlineStr">
        <is>
          <t>Same</t>
        </is>
      </c>
      <c r="J138" s="3" t="inlineStr">
        <is>
          <t>8 May 2026</t>
        </is>
      </c>
      <c r="K138" s="3" t="inlineStr">
        <is>
          <t>One long-running mayonnaise-manufacturer contract; seconds clearance.</t>
        </is>
      </c>
    </row>
    <row r="139">
      <c r="A139" s="13" t="inlineStr">
        <is>
          <t>A220</t>
        </is>
      </c>
      <c r="B139" s="2" t="inlineStr">
        <is>
          <t>Aurora channel mix - direct</t>
        </is>
      </c>
      <c r="C139" s="14" t="inlineStr">
        <is>
          <t>% revenue</t>
        </is>
      </c>
      <c r="D139" s="19" t="n">
        <v>0.01</v>
      </c>
      <c r="I139" s="3" t="inlineStr">
        <is>
          <t>Residual (Heritage Range pasture SKU, couple % of revenue - Part 2 [00:36:38])</t>
        </is>
      </c>
      <c r="J139" s="3" t="inlineStr">
        <is>
          <t>8 May 2026</t>
        </is>
      </c>
      <c r="K139" s="3" t="inlineStr"/>
    </row>
    <row r="140">
      <c r="A140" s="13" t="inlineStr">
        <is>
          <t>A221</t>
        </is>
      </c>
      <c r="B140" s="2" t="inlineStr">
        <is>
          <t>Customer concentration - top-3 retail customers</t>
        </is>
      </c>
      <c r="C140" s="14" t="inlineStr">
        <is>
          <t>% revenue</t>
        </is>
      </c>
      <c r="D140" s="19" t="n">
        <v>0.65</v>
      </c>
      <c r="E140" s="19" t="n">
        <v>0.6</v>
      </c>
      <c r="F140" s="19" t="n">
        <v>0.7</v>
      </c>
      <c r="I140" s="3" t="inlineStr">
        <is>
          <t>Calthorpe Part 2 [00:15:01]: 60-70%, point estimate 65 (FSNI, FSSI, Woolworths NZ)</t>
        </is>
      </c>
      <c r="J140" s="3" t="inlineStr">
        <is>
          <t>8 May 2026</t>
        </is>
      </c>
      <c r="K140" s="10" t="inlineStr">
        <is>
          <t>Confirmatory-DD priority #1 (Vivian) - audited top-10 required; model input is directional only.</t>
        </is>
      </c>
    </row>
    <row r="141">
      <c r="A141" s="13" t="inlineStr">
        <is>
          <t>A222</t>
        </is>
      </c>
      <c r="B141" s="2" t="inlineStr">
        <is>
          <t>Conversion capex per bird - industry range</t>
        </is>
      </c>
      <c r="C141" s="14" t="inlineStr">
        <is>
          <t>NZ$/bird</t>
        </is>
      </c>
      <c r="D141" s="18" t="n">
        <v>55</v>
      </c>
      <c r="E141" s="18" t="n">
        <v>45</v>
      </c>
      <c r="F141" s="18" t="n">
        <v>65</v>
      </c>
      <c r="I141" s="3" t="inlineStr">
        <is>
          <t>Calthorpe Part 2 [00:01:18] NZ$45-65 all-in; EPF "low-40s to high-60s" (Marsden [00:20:22]); Hartley Pearce key takeaways</t>
        </is>
      </c>
      <c r="J141" s="3" t="inlineStr">
        <is>
          <t>8 May 2026</t>
        </is>
      </c>
      <c r="K141" s="3" t="inlineStr">
        <is>
          <t>Aurora expected mid-range NZ$52-58 (modern colony sheds, late-2010s upgrades).</t>
        </is>
      </c>
    </row>
    <row r="142">
      <c r="A142" s="13" t="inlineStr">
        <is>
          <t>A223</t>
        </is>
      </c>
      <c r="B142" s="2" t="inlineStr">
        <is>
          <t>Broker capex claim - Aurora colony-to-barn</t>
        </is>
      </c>
      <c r="C142" s="14" t="inlineStr">
        <is>
          <t>NZ$M</t>
        </is>
      </c>
      <c r="D142" s="21" t="n">
        <v>9</v>
      </c>
      <c r="E142" s="21" t="n">
        <v>8</v>
      </c>
      <c r="F142" s="21" t="n">
        <v>10</v>
      </c>
      <c r="I142" s="3" t="inlineStr">
        <is>
          <t>aurora_eggs_information_memorandum_draft.pdf (Anchor Bay, Draft v0.4) s.5 ("NZ$8-10M, in line with industry benchmarks")</t>
        </is>
      </c>
      <c r="J142" s="3" t="inlineStr">
        <is>
          <t>28 Feb 2026</t>
        </is>
      </c>
      <c r="K142" s="10" t="inlineStr">
        <is>
          <t>CONTESTED - implies NZ$33-41/bird vs industry NZ$45-65; model carries the expert-anchored range.</t>
        </is>
      </c>
    </row>
    <row r="143">
      <c r="A143" s="13" t="inlineStr">
        <is>
          <t>A224</t>
        </is>
      </c>
      <c r="B143" s="2" t="inlineStr">
        <is>
          <t>Physical build cycle (post-consent)</t>
        </is>
      </c>
      <c r="C143" s="14" t="inlineStr">
        <is>
          <t>months</t>
        </is>
      </c>
      <c r="D143" s="18" t="n">
        <v>15</v>
      </c>
      <c r="E143" s="18" t="n">
        <v>14</v>
      </c>
      <c r="F143" s="18" t="n">
        <v>16</v>
      </c>
      <c r="I143" s="3" t="inlineStr">
        <is>
          <t>Calthorpe Part 2 [00:06:30]: industry 12-18; Aurora 14-16 keeping shed footprints; Marcus Vale (Slack 6 May) 12-18</t>
        </is>
      </c>
      <c r="J143" s="3" t="inlineStr">
        <is>
          <t>8 May 2026</t>
        </is>
      </c>
      <c r="K143" s="3" t="inlineStr"/>
    </row>
    <row r="144">
      <c r="A144" s="13" t="inlineStr">
        <is>
          <t>A225</t>
        </is>
      </c>
      <c r="B144" s="2" t="inlineStr">
        <is>
          <t>Resource consent - non-notified</t>
        </is>
      </c>
      <c r="C144" s="14" t="inlineStr">
        <is>
          <t>months</t>
        </is>
      </c>
      <c r="D144" s="18" t="n">
        <v>5</v>
      </c>
      <c r="E144" s="18" t="n">
        <v>4</v>
      </c>
      <c r="F144" s="18" t="n">
        <v>6</v>
      </c>
      <c r="I144" s="3" t="inlineStr">
        <is>
          <t>Calthorpe Part 2 [00:07:24] (RMA + building consents, like-for-like footprint)</t>
        </is>
      </c>
      <c r="J144" s="3" t="inlineStr">
        <is>
          <t>8 May 2026</t>
        </is>
      </c>
      <c r="K144" s="3" t="inlineStr">
        <is>
          <t>No public lodgement found in Selwyn or Waikato registers as of 11 May 2026 (Part 3 [00:16:38]).</t>
        </is>
      </c>
    </row>
    <row r="145">
      <c r="A145" s="13" t="inlineStr">
        <is>
          <t>A226</t>
        </is>
      </c>
      <c r="B145" s="2" t="inlineStr">
        <is>
          <t>Resource consent - publicly notified</t>
        </is>
      </c>
      <c r="C145" s="14" t="inlineStr">
        <is>
          <t>months</t>
        </is>
      </c>
      <c r="D145" s="21" t="n">
        <v>10.5</v>
      </c>
      <c r="E145" s="21" t="n">
        <v>9</v>
      </c>
      <c r="F145" s="21" t="n">
        <v>12</v>
      </c>
      <c r="I145" s="3" t="inlineStr">
        <is>
          <t>Calthorpe Part 2 [00:07:24]</t>
        </is>
      </c>
      <c r="J145" s="3" t="inlineStr">
        <is>
          <t>8 May 2026</t>
        </is>
      </c>
      <c r="K145" s="3" t="inlineStr"/>
    </row>
    <row r="146">
      <c r="A146" s="13" t="inlineStr">
        <is>
          <t>A227</t>
        </is>
      </c>
      <c r="B146" s="2" t="inlineStr">
        <is>
          <t>DOC / pullet lead time - normalised (mid-2026)</t>
        </is>
      </c>
      <c r="C146" s="14" t="inlineStr">
        <is>
          <t>months</t>
        </is>
      </c>
      <c r="D146" s="21" t="n">
        <v>4.5</v>
      </c>
      <c r="E146" s="21" t="n">
        <v>4</v>
      </c>
      <c r="F146" s="21" t="n">
        <v>5</v>
      </c>
      <c r="I146" s="3" t="inlineStr">
        <is>
          <t>Calthorpe Part 7 [00:23:22]: waitlist back to 4-5 months historical norm by mid-2026</t>
        </is>
      </c>
      <c r="J146" s="3" t="inlineStr">
        <is>
          <t>2 Jun 2026</t>
        </is>
      </c>
      <c r="K146" s="3" t="inlineStr"/>
    </row>
    <row r="147">
      <c r="A147" s="13" t="inlineStr">
        <is>
          <t>A228</t>
        </is>
      </c>
      <c r="B147" s="2" t="inlineStr">
        <is>
          <t>DOC / pullet lead time - Phase-2-peak / tight</t>
        </is>
      </c>
      <c r="C147" s="14" t="inlineStr">
        <is>
          <t>months</t>
        </is>
      </c>
      <c r="D147" s="21" t="n">
        <v>7.5</v>
      </c>
      <c r="E147" s="21" t="n">
        <v>6</v>
      </c>
      <c r="F147" s="21" t="n">
        <v>9</v>
      </c>
      <c r="I147" s="3" t="inlineStr">
        <is>
          <t>Calthorpe Part 2 [00:04:18] + Marsden [00:20:22]: 6-9 months order-to-delivery in conversion-wave conditions</t>
        </is>
      </c>
      <c r="J147" s="3" t="inlineStr">
        <is>
          <t>8 May 2026</t>
        </is>
      </c>
      <c r="K147" s="3" t="inlineStr">
        <is>
          <t>Runs in parallel with build if ordered at consent grant; recurring re-tightening risk into 2027.</t>
        </is>
      </c>
    </row>
    <row r="148">
      <c r="A148" s="13" t="inlineStr">
        <is>
          <t>A229</t>
        </is>
      </c>
      <c r="B148" s="2" t="inlineStr">
        <is>
          <t>Conversion equipment lead time (order to commissioning)</t>
        </is>
      </c>
      <c r="C148" s="14" t="inlineStr">
        <is>
          <t>months</t>
        </is>
      </c>
      <c r="D148" s="21" t="n">
        <v>11.5</v>
      </c>
      <c r="E148" s="21" t="n">
        <v>9</v>
      </c>
      <c r="F148" s="21" t="n">
        <v>14</v>
      </c>
      <c r="I148" s="3" t="inlineStr">
        <is>
          <t>Calthorpe Part 7 [00:26:56] (Big Dutchman / Vencomatic / Salmet; nationally constrained pipeline through 2027)</t>
        </is>
      </c>
      <c r="J148" s="3" t="inlineStr">
        <is>
          <t>2 Jun 2026</t>
        </is>
      </c>
      <c r="K148" s="3" t="inlineStr">
        <is>
          <t>Industry chatter: Aurora signed Big Dutchman late 2025; commissioning Q3 2026 - Q1 2027 (unconfirmed).</t>
        </is>
      </c>
    </row>
    <row r="149">
      <c r="A149" s="13" t="inlineStr">
        <is>
          <t>A230</t>
        </is>
      </c>
      <c r="B149" s="2" t="inlineStr">
        <is>
          <t>Aurora EBITDA-at-risk per year of slippage</t>
        </is>
      </c>
      <c r="C149" s="14" t="inlineStr">
        <is>
          <t>NZ$M/yr</t>
        </is>
      </c>
      <c r="D149" s="21" t="n">
        <v>3.5</v>
      </c>
      <c r="E149" s="21" t="n">
        <v>3</v>
      </c>
      <c r="F149" s="21" t="n">
        <v>4</v>
      </c>
      <c r="I149" s="3" t="inlineStr">
        <is>
          <t>Calthorpe Part 3 [00:20:32]: 244k colony birds ~70M eggs; retail gate ~NZ$0.50/egg -&gt; industrial ~NZ$0.30 = ~NZ$14M revenue hit, NZ$3-4M EBITDA</t>
        </is>
      </c>
      <c r="J149" s="3" t="inlineStr">
        <is>
          <t>11 May 2026</t>
        </is>
      </c>
      <c r="K149" s="3" t="inlineStr">
        <is>
          <t>~30-35% of FY24 EBITDA per slip-year; retailers de-list colony 1 Jan 2028, no grace period (Part 3 [00:30:38]).</t>
        </is>
      </c>
    </row>
    <row r="150">
      <c r="A150" s="13" t="inlineStr">
        <is>
          <t>A231</t>
        </is>
      </c>
      <c r="B150" s="2" t="inlineStr">
        <is>
          <t>P(complete by end-2027) - if consents already lodged</t>
        </is>
      </c>
      <c r="C150" s="14" t="inlineStr">
        <is>
          <t>probability</t>
        </is>
      </c>
      <c r="D150" s="19" t="n">
        <v>0.5</v>
      </c>
      <c r="I150" s="3" t="inlineStr">
        <is>
          <t>Calthorpe Part 3 [00:17:48]</t>
        </is>
      </c>
      <c r="J150" s="3" t="inlineStr">
        <is>
          <t>11 May 2026</t>
        </is>
      </c>
      <c r="K150" s="3" t="inlineStr">
        <is>
          <t>Lodgement status unknown - top confirmatory question.</t>
        </is>
      </c>
    </row>
    <row r="151">
      <c r="A151" s="13" t="inlineStr">
        <is>
          <t>A232</t>
        </is>
      </c>
      <c r="B151" s="2" t="inlineStr">
        <is>
          <t>P(complete by end-2027) - if starting consents now</t>
        </is>
      </c>
      <c r="C151" s="14" t="inlineStr">
        <is>
          <t>probability</t>
        </is>
      </c>
      <c r="D151" s="19" t="n">
        <v>0</v>
      </c>
      <c r="I151" s="3" t="inlineStr">
        <is>
          <t>Calthorpe Part 3 [00:17:48]: "0% - looking at mid-to-late 2028"</t>
        </is>
      </c>
      <c r="J151" s="3" t="inlineStr">
        <is>
          <t>11 May 2026</t>
        </is>
      </c>
      <c r="K151" s="3" t="inlineStr"/>
    </row>
    <row r="152">
      <c r="A152" s="13" t="inlineStr">
        <is>
          <t>A233</t>
        </is>
      </c>
      <c r="B152" s="2" t="inlineStr">
        <is>
          <t>Aurora EBITDA margin path - central (Managed Conversion)</t>
        </is>
      </c>
      <c r="C152" s="14" t="inlineStr">
        <is>
          <t>% revenue</t>
        </is>
      </c>
      <c r="D152" s="16" t="n">
        <v>0.125</v>
      </c>
      <c r="E152" s="16" t="n">
        <v>0.122</v>
      </c>
      <c r="F152" s="16" t="n">
        <v>0.12</v>
      </c>
      <c r="G152" s="16" t="n">
        <v>0.12</v>
      </c>
      <c r="H152" s="16" t="n">
        <v>0.12</v>
      </c>
      <c r="I152" s="3" t="inlineStr">
        <is>
          <t>Deal-team estimate: FY24A 12.8% less premium-compression drag on the 30% FR book, partial cost pass-through; industry cluster 10-12% (Pacific Agri FY24 briefing)</t>
        </is>
      </c>
      <c r="J152" s="3" t="inlineStr">
        <is>
          <t>Estimate, May 2026</t>
        </is>
      </c>
      <c r="K152" s="10" t="inlineStr">
        <is>
          <t>ESTIMATE - preliminary outside-in; refresh on audited financials + adj-EBITDA bridge.</t>
        </is>
      </c>
    </row>
    <row r="153">
      <c r="A153" s="13" t="inlineStr">
        <is>
          <t>A234</t>
        </is>
      </c>
      <c r="B153" s="2" t="inlineStr">
        <is>
          <t>Broker share-capture claim (long-tail exits)</t>
        </is>
      </c>
      <c r="C153" s="14" t="inlineStr">
        <is>
          <t>pp by FY30</t>
        </is>
      </c>
      <c r="D153" s="16" t="n">
        <v>0.025</v>
      </c>
      <c r="E153" s="16" t="n">
        <v>0.02</v>
      </c>
      <c r="F153" s="16" t="n">
        <v>0.03</v>
      </c>
      <c r="I153" s="3" t="inlineStr">
        <is>
          <t>aurora_eggs_information_memorandum_draft.pdf (Anchor Bay, Draft v0.4) s.3(c): "~2-3pp incremental share" from non-converting exits</t>
        </is>
      </c>
      <c r="J153" s="3" t="inlineStr">
        <is>
          <t>28 Feb 2026</t>
        </is>
      </c>
      <c r="K153" s="10" t="inlineStr">
        <is>
          <t>CONTESTED as base case - plausible direction (long-tail exits are real) but unsized by evidence; carried as upside sensitivity only.</t>
        </is>
      </c>
    </row>
    <row r="154"/>
    <row r="155">
      <c r="A155" s="4" t="inlineStr">
        <is>
          <t>G.  COST-SIDE / INPUT-COST &amp; SUPPLY-SIDE INPUTS  (feed, electricity, DOC, packaging, labour, ETS, biosecurity - Calthorpe Part 7)</t>
        </is>
      </c>
      <c r="B155" s="4" t="n"/>
      <c r="C155" s="4" t="n"/>
      <c r="D155" s="4" t="n"/>
      <c r="E155" s="4" t="n"/>
      <c r="F155" s="4" t="n"/>
      <c r="G155" s="4" t="n"/>
      <c r="H155" s="4" t="n"/>
      <c r="I155" s="4" t="n"/>
      <c r="J155" s="4" t="n"/>
      <c r="K155" s="4" t="n"/>
    </row>
    <row r="156">
      <c r="A156" s="11" t="inlineStr">
        <is>
          <t>Ref</t>
        </is>
      </c>
      <c r="B156" s="11" t="inlineStr">
        <is>
          <t>Parameter</t>
        </is>
      </c>
      <c r="C156" s="11" t="inlineStr">
        <is>
          <t>Unit</t>
        </is>
      </c>
      <c r="D156" s="12" t="inlineStr">
        <is>
          <t>Value</t>
        </is>
      </c>
      <c r="E156" s="12" t="inlineStr">
        <is>
          <t>Low</t>
        </is>
      </c>
      <c r="F156" s="12" t="inlineStr">
        <is>
          <t>High</t>
        </is>
      </c>
      <c r="G156" s="12" t="inlineStr"/>
      <c r="H156" s="12" t="inlineStr"/>
      <c r="I156" s="11" t="inlineStr">
        <is>
          <t>Source (file / section)</t>
        </is>
      </c>
      <c r="J156" s="11" t="inlineStr">
        <is>
          <t>Vintage</t>
        </is>
      </c>
      <c r="K156" s="11" t="inlineStr">
        <is>
          <t>Notes</t>
        </is>
      </c>
    </row>
    <row r="157">
      <c r="A157" s="13" t="inlineStr">
        <is>
          <t>A235</t>
        </is>
      </c>
      <c r="B157" s="2" t="inlineStr">
        <is>
          <t>Feed grain - share of variable cost per dozen</t>
        </is>
      </c>
      <c r="C157" s="14" t="inlineStr">
        <is>
          <t>%</t>
        </is>
      </c>
      <c r="D157" s="16" t="n">
        <v>0.6</v>
      </c>
      <c r="E157" s="16" t="n">
        <v>0.55</v>
      </c>
      <c r="F157" s="16" t="n">
        <v>0.65</v>
      </c>
      <c r="I157" s="3" t="inlineStr">
        <is>
          <t>Calthorpe Part 7 [00:02:48]; Pacific Agri FY24 briefing s.3 (feed 60-65% of cash cost)</t>
        </is>
      </c>
      <c r="J157" s="3" t="inlineStr">
        <is>
          <t>2 Jun 2026 / Oct 2024</t>
        </is>
      </c>
      <c r="K157" s="3" t="inlineStr">
        <is>
          <t>Dominant P&amp;L line; poultry is a price-taker on a dairy-led grain market (12% of NZ grain offtake).</t>
        </is>
      </c>
    </row>
    <row r="158">
      <c r="A158" s="13" t="inlineStr">
        <is>
          <t>A236</t>
        </is>
      </c>
      <c r="B158" s="2" t="inlineStr">
        <is>
          <t>Feed cost per dozen (FY24 prices)</t>
        </is>
      </c>
      <c r="C158" s="14" t="inlineStr">
        <is>
          <t>NZ$/dozen</t>
        </is>
      </c>
      <c r="D158" s="20" t="n">
        <v>1.975</v>
      </c>
      <c r="E158" s="20" t="n">
        <v>1.85</v>
      </c>
      <c r="F158" s="20" t="n">
        <v>2.1</v>
      </c>
      <c r="I158" s="3" t="inlineStr">
        <is>
          <t>Calthorpe Part 7 [00:07:18]</t>
        </is>
      </c>
      <c r="J158" s="3" t="inlineStr">
        <is>
          <t>2 Jun 2026</t>
        </is>
      </c>
      <c r="K158" s="3" t="inlineStr"/>
    </row>
    <row r="159">
      <c r="A159" s="13" t="inlineStr">
        <is>
          <t>A237</t>
        </is>
      </c>
      <c r="B159" s="2" t="inlineStr">
        <is>
          <t>NZ feed wheat price (CY2024-25 range)</t>
        </is>
      </c>
      <c r="C159" s="14" t="inlineStr">
        <is>
          <t>NZ$/tonne</t>
        </is>
      </c>
      <c r="D159" s="18" t="n">
        <v>470</v>
      </c>
      <c r="E159" s="18" t="n">
        <v>430</v>
      </c>
      <c r="F159" s="18" t="n">
        <v>510</v>
      </c>
      <c r="I159" s="3" t="inlineStr">
        <is>
          <t>Calthorpe Part 7 [00:04:42] + USDA FAS NZ Grain &amp; Feed reports; 2023 dry-summer spike &gt;NZ$540/t</t>
        </is>
      </c>
      <c r="J159" s="3" t="inlineStr">
        <is>
          <t>2 Jun 2026 / 2024-25</t>
        </is>
      </c>
      <c r="K159" s="3" t="inlineStr">
        <is>
          <t>NZ imports ~60% of feed grain demand (AU wheat/barley).</t>
        </is>
      </c>
    </row>
    <row r="160">
      <c r="A160" s="13" t="inlineStr">
        <is>
          <t>A238</t>
        </is>
      </c>
      <c r="B160" s="2" t="inlineStr">
        <is>
          <t>Feed pass-through lag (retail contracts)</t>
        </is>
      </c>
      <c r="C160" s="14" t="inlineStr">
        <is>
          <t>months</t>
        </is>
      </c>
      <c r="D160" s="18" t="n">
        <v>5</v>
      </c>
      <c r="E160" s="18" t="n">
        <v>4</v>
      </c>
      <c r="F160" s="18" t="n">
        <v>6</v>
      </c>
      <c r="I160" s="3" t="inlineStr">
        <is>
          <t>Calthorpe Part 7 [00:07:18] (Foodstuffs / Woolworths NZ contract review windows)</t>
        </is>
      </c>
      <c r="J160" s="3" t="inlineStr">
        <is>
          <t>2 Jun 2026</t>
        </is>
      </c>
      <c r="K160" s="3" t="inlineStr">
        <is>
          <t>Aurora holds 4-6 wks feed inventory vs Mainland captive 8-10 wks - structural asymmetry.</t>
        </is>
      </c>
    </row>
    <row r="161">
      <c r="A161" s="13" t="inlineStr">
        <is>
          <t>A239</t>
        </is>
      </c>
      <c r="B161" s="2" t="inlineStr">
        <is>
          <t>Margin impact of +10% spot grain spike</t>
        </is>
      </c>
      <c r="C161" s="14" t="inlineStr">
        <is>
          <t>bps (1-2 qtrs)</t>
        </is>
      </c>
      <c r="D161" s="18" t="n">
        <v>95</v>
      </c>
      <c r="E161" s="18" t="n">
        <v>80</v>
      </c>
      <c r="F161" s="18" t="n">
        <v>110</v>
      </c>
      <c r="I161" s="3" t="inlineStr">
        <is>
          <t>Calthorpe Part 7 [00:07:18]</t>
        </is>
      </c>
      <c r="J161" s="3" t="inlineStr">
        <is>
          <t>2 Jun 2026</t>
        </is>
      </c>
      <c r="K161" s="3" t="inlineStr">
        <is>
          <t>Gross-margin compression before pass-through catches up; no NZ grain futures hedge exists.</t>
        </is>
      </c>
    </row>
    <row r="162">
      <c r="A162" s="13" t="inlineStr">
        <is>
          <t>A240</t>
        </is>
      </c>
      <c r="B162" s="2" t="inlineStr">
        <is>
          <t>Electricity - share of variable cost (Aurora blended)</t>
        </is>
      </c>
      <c r="C162" s="14" t="inlineStr">
        <is>
          <t>%</t>
        </is>
      </c>
      <c r="D162" s="16" t="n">
        <v>0.09</v>
      </c>
      <c r="E162" s="16" t="n">
        <v>0.08</v>
      </c>
      <c r="F162" s="16" t="n">
        <v>0.1</v>
      </c>
      <c r="I162" s="3" t="inlineStr">
        <is>
          <t>Calthorpe Part 7 [00:12:22] (barn/colony 8-12%; FR 5-8%; Aurora 40/30/30 mix -&gt; 8-10%)</t>
        </is>
      </c>
      <c r="J162" s="3" t="inlineStr">
        <is>
          <t>2 Jun 2026</t>
        </is>
      </c>
      <c r="K162" s="3" t="inlineStr"/>
    </row>
    <row r="163">
      <c r="A163" s="13" t="inlineStr">
        <is>
          <t>A241</t>
        </is>
      </c>
      <c r="B163" s="2" t="inlineStr">
        <is>
          <t>Cumulative industrial electricity inflation CY2024-26</t>
        </is>
      </c>
      <c r="C163" s="14" t="inlineStr">
        <is>
          <t>%</t>
        </is>
      </c>
      <c r="D163" s="16" t="n">
        <v>0.19</v>
      </c>
      <c r="E163" s="16" t="n">
        <v>0.18</v>
      </c>
      <c r="F163" s="16" t="n">
        <v>0.2</v>
      </c>
      <c r="I163" s="3" t="inlineStr">
        <is>
          <t>Calthorpe Part 7 [00:14:48]: 17.8c/kWh 2024 (Stats NZ/MBIE); +12% 2025; +5%+ 2026 forward curve</t>
        </is>
      </c>
      <c r="J163" s="3" t="inlineStr">
        <is>
          <t>2 Jun 2026</t>
        </is>
      </c>
      <c r="K163" s="3" t="inlineStr"/>
    </row>
    <row r="164">
      <c r="A164" s="13" t="inlineStr">
        <is>
          <t>A242</t>
        </is>
      </c>
      <c r="B164" s="2" t="inlineStr">
        <is>
          <t>Margin headwind if electricity not passed through</t>
        </is>
      </c>
      <c r="C164" s="14" t="inlineStr">
        <is>
          <t>bps on colony/barn lines</t>
        </is>
      </c>
      <c r="D164" s="18" t="n">
        <v>185</v>
      </c>
      <c r="E164" s="18" t="n">
        <v>150</v>
      </c>
      <c r="F164" s="18" t="n">
        <v>220</v>
      </c>
      <c r="I164" s="3" t="inlineStr">
        <is>
          <t>Calthorpe Part 7 [00:14:48]</t>
        </is>
      </c>
      <c r="J164" s="3" t="inlineStr">
        <is>
          <t>2 Jun 2026</t>
        </is>
      </c>
      <c r="K164" s="3" t="inlineStr">
        <is>
          <t>Aurora re-tariffs late 2027 (renewed 2024 pre-spike) -&gt; FY28 cost step-up risk, lands with new owner.</t>
        </is>
      </c>
    </row>
    <row r="165">
      <c r="A165" s="13" t="inlineStr">
        <is>
          <t>A243</t>
        </is>
      </c>
      <c r="B165" s="2" t="inlineStr">
        <is>
          <t>Labour - share of variable cost</t>
        </is>
      </c>
      <c r="C165" s="14" t="inlineStr">
        <is>
          <t>%</t>
        </is>
      </c>
      <c r="D165" s="16" t="n">
        <v>0.2</v>
      </c>
      <c r="E165" s="16" t="n">
        <v>0.18</v>
      </c>
      <c r="F165" s="16" t="n">
        <v>0.22</v>
      </c>
      <c r="I165" s="3" t="inlineStr">
        <is>
          <t>Calthorpe Part 7 [00:38:50] (Aurora 110-130 staff, 2 sites); Pacific Agri: labour 8-12% of net sales (different basis - net sales vs variable cost)</t>
        </is>
      </c>
      <c r="J165" s="3" t="inlineStr">
        <is>
          <t>2 Jun 2026 / Oct 2024</t>
        </is>
      </c>
      <c r="K165" s="3" t="inlineStr">
        <is>
          <t>AEWV median-wage tightening = wage pressure; no RSE access for layer farms.</t>
        </is>
      </c>
    </row>
    <row r="166">
      <c r="A166" s="13" t="inlineStr">
        <is>
          <t>A244</t>
        </is>
      </c>
      <c r="B166" s="2" t="inlineStr">
        <is>
          <t>Packaging - share of variable cost</t>
        </is>
      </c>
      <c r="C166" s="14" t="inlineStr">
        <is>
          <t>%</t>
        </is>
      </c>
      <c r="D166" s="16" t="n">
        <v>0.05</v>
      </c>
      <c r="E166" s="16" t="n">
        <v>0.04</v>
      </c>
      <c r="F166" s="16" t="n">
        <v>0.06</v>
      </c>
      <c r="I166" s="3" t="inlineStr">
        <is>
          <t>Calthorpe Part 7 [00:33:56]; Pacific Agri 4-6% of net sales</t>
        </is>
      </c>
      <c r="J166" s="3" t="inlineStr">
        <is>
          <t>2 Jun 2026</t>
        </is>
      </c>
      <c r="K166" s="3" t="inlineStr">
        <is>
          <t>Huhtamaki Otahuhu = sole NZ moulded-fibre plant; common-mode 2-3 wk disruption propagation; AU import lead 4-6 wks.</t>
        </is>
      </c>
    </row>
    <row r="167">
      <c r="A167" s="13" t="inlineStr">
        <is>
          <t>A245</t>
        </is>
      </c>
      <c r="B167" s="2" t="inlineStr">
        <is>
          <t>ETS re-inclusion exposure - Aurora annual (downside)</t>
        </is>
      </c>
      <c r="C167" s="14" t="inlineStr">
        <is>
          <t>NZ$M/yr</t>
        </is>
      </c>
      <c r="D167" s="21" t="n">
        <v>1</v>
      </c>
      <c r="E167" s="21" t="n">
        <v>0.5</v>
      </c>
      <c r="F167" s="21" t="n">
        <v>1.5</v>
      </c>
      <c r="I167" s="3" t="inlineStr">
        <is>
          <t>Calthorpe Part 7 [00:42:26]: agriculture removed from ETS 2024; reversibility via 2026 election ("under review" - Labour)</t>
        </is>
      </c>
      <c r="J167" s="3" t="inlineStr">
        <is>
          <t>2 Jun 2026</t>
        </is>
      </c>
      <c r="K167" s="3" t="inlineStr">
        <is>
          <t>5-15% of FY24 EBITDA; downside scenario from FY28, not central case.</t>
        </is>
      </c>
    </row>
    <row r="168">
      <c r="A168" s="13" t="inlineStr">
        <is>
          <t>A246</t>
        </is>
      </c>
      <c r="B168" s="2" t="inlineStr">
        <is>
          <t>Biosecurity event cost per affected farm (one-off)</t>
        </is>
      </c>
      <c r="C168" s="14" t="inlineStr">
        <is>
          <t>NZ$M</t>
        </is>
      </c>
      <c r="D168" s="21" t="n">
        <v>3.1</v>
      </c>
      <c r="E168" s="21" t="n">
        <v>2.8</v>
      </c>
      <c r="F168" s="21" t="n">
        <v>3.4</v>
      </c>
      <c r="I168" s="3" t="inlineStr">
        <is>
          <t>Calthorpe Part 7 [00:46:26] (H7N6 Otago cleanout actuals: cull, cleanout, repopulation, interruption); WOAH self-declaration Sep 2025</t>
        </is>
      </c>
      <c r="J168" s="3" t="inlineStr">
        <is>
          <t>2 Jun 2026 / 12 Sep 2025</t>
        </is>
      </c>
      <c r="K168" s="3" t="inlineStr">
        <is>
          <t>25-35% of EBITDA in impact year per affected farm; insurance premiums +25-35% on renewal post-H7N6.</t>
        </is>
      </c>
    </row>
    <row r="169">
      <c r="A169" s="13" t="inlineStr">
        <is>
          <t>A247</t>
        </is>
      </c>
      <c r="B169" s="2" t="inlineStr">
        <is>
          <t>H7N6 FY25 industry cost overlay (one-off)</t>
        </is>
      </c>
      <c r="C169" s="14" t="inlineStr">
        <is>
          <t>% of cost base</t>
        </is>
      </c>
      <c r="D169" s="16" t="n">
        <v>0.04</v>
      </c>
      <c r="E169" s="16" t="n">
        <v>0.03</v>
      </c>
      <c r="F169" s="16" t="n">
        <v>0.05</v>
      </c>
      <c r="I169" s="3" t="inlineStr">
        <is>
          <t>Calthorpe Part 1 [00:17:58]: ~3-5% one-off FY25 overlay then normalising; NOT a national supply shock (WOAH: single Otago property, stamped out, HPAI-free from 24 Apr 2025)</t>
        </is>
      </c>
      <c r="J169" s="3" t="inlineStr">
        <is>
          <t>6 May 2026 / 12 Sep 2025</t>
        </is>
      </c>
      <c r="K169" s="3" t="inlineStr">
        <is>
          <t>Discount any "NZ next" speculation (Whitlock call) - WOAH is ground truth (Vivian, Slack 7 May).</t>
        </is>
      </c>
    </row>
    <row r="170">
      <c r="A170" s="13" t="inlineStr">
        <is>
          <t>A248</t>
        </is>
      </c>
      <c r="B170" s="2" t="inlineStr">
        <is>
          <t>Manure offtake revenue offset - Aurora</t>
        </is>
      </c>
      <c r="C170" s="14" t="inlineStr">
        <is>
          <t>NZ$M/yr</t>
        </is>
      </c>
      <c r="D170" s="6" t="n">
        <v>0.375</v>
      </c>
      <c r="E170" s="6" t="n">
        <v>0.3</v>
      </c>
      <c r="F170" s="6" t="n">
        <v>0.45</v>
      </c>
      <c r="I170" s="3" t="inlineStr">
        <is>
          <t>Calthorpe Part 7 [00:50:12]: ~18,000 t/yr at NZ$15-25/t (Ravensdown / Ballance)</t>
        </is>
      </c>
      <c r="J170" s="3" t="inlineStr">
        <is>
          <t>2 Jun 2026</t>
        </is>
      </c>
      <c r="K170" s="3" t="inlineStr">
        <is>
          <t>Already inside reported EBITDA; not in sell-side framing.</t>
        </is>
      </c>
    </row>
    <row r="171"/>
    <row r="172">
      <c r="A172" s="4" t="inlineStr">
        <is>
          <t>H.  TRANSITION-SCENARIO PARAMETERS  (three named scenarios - deadline is FIXED at end-2027 retailer pledge; scenarios vary HOW the colony cohort moves, per Vivian Slack 4 May)</t>
        </is>
      </c>
      <c r="B172" s="4" t="n"/>
      <c r="C172" s="4" t="n"/>
      <c r="D172" s="4" t="n"/>
      <c r="E172" s="4" t="n"/>
      <c r="F172" s="4" t="n"/>
      <c r="G172" s="4" t="n"/>
      <c r="H172" s="4" t="n"/>
      <c r="I172" s="4" t="n"/>
      <c r="J172" s="4" t="n"/>
      <c r="K172" s="4" t="n"/>
    </row>
    <row r="173">
      <c r="A173" s="11" t="inlineStr">
        <is>
          <t>Ref</t>
        </is>
      </c>
      <c r="B173" s="11" t="inlineStr">
        <is>
          <t>Parameter</t>
        </is>
      </c>
      <c r="C173" s="11" t="inlineStr">
        <is>
          <t>Unit</t>
        </is>
      </c>
      <c r="D173" s="12" t="inlineStr">
        <is>
          <t>FY26</t>
        </is>
      </c>
      <c r="E173" s="12" t="inlineStr">
        <is>
          <t>FY27</t>
        </is>
      </c>
      <c r="F173" s="12" t="inlineStr">
        <is>
          <t>FY28</t>
        </is>
      </c>
      <c r="G173" s="12" t="inlineStr">
        <is>
          <t>FY29</t>
        </is>
      </c>
      <c r="H173" s="12" t="inlineStr">
        <is>
          <t>FY30</t>
        </is>
      </c>
      <c r="I173" s="11" t="inlineStr">
        <is>
          <t>Source (file / section)</t>
        </is>
      </c>
      <c r="J173" s="11" t="inlineStr">
        <is>
          <t>Vintage</t>
        </is>
      </c>
      <c r="K173" s="11" t="inlineStr">
        <is>
          <t>Notes</t>
        </is>
      </c>
    </row>
    <row r="174">
      <c r="A174" s="13" t="inlineStr">
        <is>
          <t>A249</t>
        </is>
      </c>
      <c r="B174" s="2" t="inlineStr">
        <is>
          <t>S1 MANAGED CONVERSION - colony share of flock</t>
        </is>
      </c>
      <c r="C174" s="14" t="inlineStr">
        <is>
          <t>% flock</t>
        </is>
      </c>
      <c r="D174" s="16" t="n">
        <v>0.4</v>
      </c>
      <c r="E174" s="16" t="n">
        <v>0.25</v>
      </c>
      <c r="F174" s="16" t="n">
        <v>0.03</v>
      </c>
      <c r="G174" s="16" t="n">
        <v>0</v>
      </c>
      <c r="H174" s="16" t="n">
        <v>0</v>
      </c>
      <c r="I174" s="3" t="inlineStr">
        <is>
          <t>Scenario architecture: Vivian Holst Slack 4 May 2026 (managed conversion / capacity gap with imports / premium collapse); standards s.3.1; mix path from destination split (s.D) + completion 95%</t>
        </is>
      </c>
      <c r="J174" s="3" t="inlineStr">
        <is>
          <t>May 2026</t>
        </is>
      </c>
      <c r="K174" s="3" t="inlineStr">
        <is>
          <t>Named top-6 convert on schedule; long-tail partial exit redistributes share.</t>
        </is>
      </c>
    </row>
    <row r="175">
      <c r="A175" s="13" t="inlineStr">
        <is>
          <t>A250</t>
        </is>
      </c>
      <c r="B175" s="2" t="inlineStr">
        <is>
          <t>S1 MANAGED CONVERSION - barn share</t>
        </is>
      </c>
      <c r="C175" s="14" t="inlineStr">
        <is>
          <t>% flock</t>
        </is>
      </c>
      <c r="D175" s="16" t="n">
        <v>0.2</v>
      </c>
      <c r="E175" s="16" t="n">
        <v>0.3</v>
      </c>
      <c r="F175" s="16" t="n">
        <v>0.44</v>
      </c>
      <c r="G175" s="16" t="n">
        <v>0.46</v>
      </c>
      <c r="H175" s="16" t="n">
        <v>0.46</v>
      </c>
      <c r="I175" s="3" t="inlineStr">
        <is>
          <t>As above</t>
        </is>
      </c>
      <c r="J175" s="3" t="inlineStr">
        <is>
          <t>May 2026</t>
        </is>
      </c>
      <c r="K175" s="3" t="inlineStr"/>
    </row>
    <row r="176">
      <c r="A176" s="13" t="inlineStr">
        <is>
          <t>A251</t>
        </is>
      </c>
      <c r="B176" s="2" t="inlineStr">
        <is>
          <t>S1 MANAGED CONVERSION - free-range share</t>
        </is>
      </c>
      <c r="C176" s="14" t="inlineStr">
        <is>
          <t>% flock</t>
        </is>
      </c>
      <c r="D176" s="16" t="n">
        <v>0.4</v>
      </c>
      <c r="E176" s="16" t="n">
        <v>0.45</v>
      </c>
      <c r="F176" s="16" t="n">
        <v>0.53</v>
      </c>
      <c r="G176" s="16" t="n">
        <v>0.54</v>
      </c>
      <c r="H176" s="16" t="n">
        <v>0.54</v>
      </c>
      <c r="I176" s="3" t="inlineStr">
        <is>
          <t>As above</t>
        </is>
      </c>
      <c r="J176" s="3" t="inlineStr">
        <is>
          <t>May 2026</t>
        </is>
      </c>
      <c r="K176" s="3" t="inlineStr">
        <is>
          <t>Incl. pasture-raised sub-tier.</t>
        </is>
      </c>
    </row>
    <row r="177">
      <c r="A177" s="13" t="inlineStr">
        <is>
          <t>A252</t>
        </is>
      </c>
      <c r="B177" s="2" t="inlineStr">
        <is>
          <t>S1 MANAGED CONVERSION - FR premium over barn</t>
        </is>
      </c>
      <c r="C177" s="14" t="inlineStr">
        <is>
          <t>% over barn gate</t>
        </is>
      </c>
      <c r="D177" s="16" t="n">
        <v>0.18</v>
      </c>
      <c r="E177" s="16" t="n">
        <v>0.14</v>
      </c>
      <c r="F177" s="16" t="n">
        <v>0.12</v>
      </c>
      <c r="G177" s="16" t="n">
        <v>0.12</v>
      </c>
      <c r="H177" s="16" t="n">
        <v>0.12</v>
      </c>
      <c r="I177" s="3" t="inlineStr">
        <is>
          <t>Calthorpe Part 3 [00:10:38]: central trajectory 18 -&gt; 14 -&gt; 12 (transaction-price evidence, two retail buyers + one FS distributor); EU precedent 25-35% -&gt; 12-18%</t>
        </is>
      </c>
      <c r="J177" s="3" t="inlineStr">
        <is>
          <t>11 May 2026</t>
        </is>
      </c>
      <c r="K177" s="3" t="inlineStr">
        <is>
          <t>CENTRAL price path. Long-tail exits already baked in (else FY28 would be 9-10%).</t>
        </is>
      </c>
    </row>
    <row r="178">
      <c r="A178" s="13" t="inlineStr">
        <is>
          <t>A253</t>
        </is>
      </c>
      <c r="B178" s="2" t="inlineStr">
        <is>
          <t>S1 MANAGED CONVERSION - cage-free gate adjustment</t>
        </is>
      </c>
      <c r="C178" s="14" t="inlineStr">
        <is>
          <t>% on barn+FR gate</t>
        </is>
      </c>
      <c r="D178" s="16" t="n">
        <v>0</v>
      </c>
      <c r="E178" s="16" t="n">
        <v>0</v>
      </c>
      <c r="F178" s="16" t="n">
        <v>0</v>
      </c>
      <c r="G178" s="16" t="n">
        <v>0</v>
      </c>
      <c r="H178" s="16" t="n">
        <v>0</v>
      </c>
      <c r="I178" s="3" t="inlineStr">
        <is>
          <t>Definitionally zero in central case</t>
        </is>
      </c>
      <c r="J178" s="3" t="inlineStr">
        <is>
          <t>May 2026</t>
        </is>
      </c>
      <c r="K178" s="3" t="inlineStr"/>
    </row>
    <row r="179">
      <c r="A179" s="13" t="inlineStr">
        <is>
          <t>A254</t>
        </is>
      </c>
      <c r="B179" s="2" t="inlineStr">
        <is>
          <t>S1 MANAGED CONVERSION - supply adjustment</t>
        </is>
      </c>
      <c r="C179" s="14" t="inlineStr">
        <is>
          <t>% volume</t>
        </is>
      </c>
      <c r="D179" s="16" t="n">
        <v>0</v>
      </c>
      <c r="E179" s="16" t="n">
        <v>0</v>
      </c>
      <c r="F179" s="16" t="n">
        <v>0</v>
      </c>
      <c r="G179" s="16" t="n">
        <v>0</v>
      </c>
      <c r="H179" s="16" t="n">
        <v>0</v>
      </c>
      <c r="I179" s="3" t="inlineStr">
        <is>
          <t>Supply tracks demand in central case</t>
        </is>
      </c>
      <c r="J179" s="3" t="inlineStr">
        <is>
          <t>May 2026</t>
        </is>
      </c>
      <c r="K179" s="3" t="inlineStr"/>
    </row>
    <row r="180">
      <c r="A180" s="13" t="inlineStr">
        <is>
          <t>A255</t>
        </is>
      </c>
      <c r="B180" s="2" t="inlineStr">
        <is>
          <t>S2 CAPACITY GAP - colony share of flock</t>
        </is>
      </c>
      <c r="C180" s="14" t="inlineStr">
        <is>
          <t>% flock</t>
        </is>
      </c>
      <c r="D180" s="16" t="n">
        <v>0.4</v>
      </c>
      <c r="E180" s="16" t="n">
        <v>0.32</v>
      </c>
      <c r="F180" s="16" t="n">
        <v>0.12</v>
      </c>
      <c r="G180" s="16" t="n">
        <v>0.02</v>
      </c>
      <c r="H180" s="16" t="n">
        <v>0</v>
      </c>
      <c r="I180" s="3" t="inlineStr">
        <is>
          <t>Scenario architecture: Vivian Holst Slack 4 May 2026 (managed conversion / capacity gap with imports / premium collapse); standards s.3.1; conversion lags (DOC re-tightens 6-9mo, notified consents 9-12mo, equipment queue)</t>
        </is>
      </c>
      <c r="J180" s="3" t="inlineStr">
        <is>
          <t>May 2026</t>
        </is>
      </c>
      <c r="K180" s="3" t="inlineStr">
        <is>
          <t>~70-80% of cohort converted at deadline; residual colony stranded out of retail.</t>
        </is>
      </c>
    </row>
    <row r="181">
      <c r="A181" s="13" t="inlineStr">
        <is>
          <t>A256</t>
        </is>
      </c>
      <c r="B181" s="2" t="inlineStr">
        <is>
          <t>S2 CAPACITY GAP - barn share</t>
        </is>
      </c>
      <c r="C181" s="14" t="inlineStr">
        <is>
          <t>% flock</t>
        </is>
      </c>
      <c r="D181" s="16" t="n">
        <v>0.2</v>
      </c>
      <c r="E181" s="16" t="n">
        <v>0.26</v>
      </c>
      <c r="F181" s="16" t="n">
        <v>0.36</v>
      </c>
      <c r="G181" s="16" t="n">
        <v>0.45</v>
      </c>
      <c r="H181" s="16" t="n">
        <v>0.46</v>
      </c>
      <c r="I181" s="3" t="inlineStr">
        <is>
          <t>As above</t>
        </is>
      </c>
      <c r="J181" s="3" t="inlineStr">
        <is>
          <t>May 2026</t>
        </is>
      </c>
      <c r="K181" s="3" t="inlineStr"/>
    </row>
    <row r="182">
      <c r="A182" s="13" t="inlineStr">
        <is>
          <t>A257</t>
        </is>
      </c>
      <c r="B182" s="2" t="inlineStr">
        <is>
          <t>S2 CAPACITY GAP - free-range share</t>
        </is>
      </c>
      <c r="C182" s="14" t="inlineStr">
        <is>
          <t>% flock</t>
        </is>
      </c>
      <c r="D182" s="16" t="n">
        <v>0.4</v>
      </c>
      <c r="E182" s="16" t="n">
        <v>0.42</v>
      </c>
      <c r="F182" s="16" t="n">
        <v>0.52</v>
      </c>
      <c r="G182" s="16" t="n">
        <v>0.53</v>
      </c>
      <c r="H182" s="16" t="n">
        <v>0.54</v>
      </c>
      <c r="I182" s="3" t="inlineStr">
        <is>
          <t>As above</t>
        </is>
      </c>
      <c r="J182" s="3" t="inlineStr">
        <is>
          <t>May 2026</t>
        </is>
      </c>
      <c r="K182" s="3" t="inlineStr"/>
    </row>
    <row r="183">
      <c r="A183" s="13" t="inlineStr">
        <is>
          <t>A258</t>
        </is>
      </c>
      <c r="B183" s="2" t="inlineStr">
        <is>
          <t>S2 CAPACITY GAP - FR premium over barn</t>
        </is>
      </c>
      <c r="C183" s="14" t="inlineStr">
        <is>
          <t>% over barn gate</t>
        </is>
      </c>
      <c r="D183" s="16" t="n">
        <v>0.18</v>
      </c>
      <c r="E183" s="16" t="n">
        <v>0.16</v>
      </c>
      <c r="F183" s="16" t="n">
        <v>0.145</v>
      </c>
      <c r="G183" s="16" t="n">
        <v>0.14</v>
      </c>
      <c r="H183" s="16" t="n">
        <v>0.14</v>
      </c>
      <c r="I183" s="3" t="inlineStr">
        <is>
          <t>Calthorpe Part 3 [00:12:38] upside premium case (14-15% FY28 if marginal barn capacity does not land)</t>
        </is>
      </c>
      <c r="J183" s="3" t="inlineStr">
        <is>
          <t>11 May 2026</t>
        </is>
      </c>
      <c r="K183" s="3" t="inlineStr"/>
    </row>
    <row r="184">
      <c r="A184" s="13" t="inlineStr">
        <is>
          <t>A259</t>
        </is>
      </c>
      <c r="B184" s="2" t="inlineStr">
        <is>
          <t>S2 CAPACITY GAP - cage-free gate adjustment</t>
        </is>
      </c>
      <c r="C184" s="14" t="inlineStr">
        <is>
          <t>% on barn+FR gate</t>
        </is>
      </c>
      <c r="D184" s="16" t="n">
        <v>0</v>
      </c>
      <c r="E184" s="16" t="n">
        <v>0.08</v>
      </c>
      <c r="F184" s="16" t="n">
        <v>0.08</v>
      </c>
      <c r="G184" s="16" t="n">
        <v>0.03</v>
      </c>
      <c r="H184" s="16" t="n">
        <v>0</v>
      </c>
      <c r="I184" s="3" t="inlineStr">
        <is>
          <t>Marsden [00:38:24]: 12-18 months of elevated wholesale pricing if colony exits outrun barn standing up</t>
        </is>
      </c>
      <c r="J184" s="3" t="inlineStr">
        <is>
          <t>7 May 2026</t>
        </is>
      </c>
      <c r="K184" s="3" t="inlineStr">
        <is>
          <t>Price response modelled, not flat (standards s.3.1).</t>
        </is>
      </c>
    </row>
    <row r="185">
      <c r="A185" s="13" t="inlineStr">
        <is>
          <t>A260</t>
        </is>
      </c>
      <c r="B185" s="2" t="inlineStr">
        <is>
          <t>S2 CAPACITY GAP - supply adjustment</t>
        </is>
      </c>
      <c r="C185" s="14" t="inlineStr">
        <is>
          <t>% volume</t>
        </is>
      </c>
      <c r="D185" s="16" t="n">
        <v>0</v>
      </c>
      <c r="E185" s="16" t="n">
        <v>-0.03</v>
      </c>
      <c r="F185" s="16" t="n">
        <v>-0.04</v>
      </c>
      <c r="G185" s="16" t="n">
        <v>-0.01</v>
      </c>
      <c r="H185" s="16" t="n">
        <v>0</v>
      </c>
      <c r="I185" s="3" t="inlineStr">
        <is>
          <t>Deal-team sizing of the shortfall; AU barn imports partially backfill the value tier (Calthorpe Part 2 [00:40:28])</t>
        </is>
      </c>
      <c r="J185" s="3" t="inlineStr">
        <is>
          <t>May 2026</t>
        </is>
      </c>
      <c r="K185" s="3" t="inlineStr">
        <is>
          <t>Imports cap the gate-price spike at the value end.</t>
        </is>
      </c>
    </row>
    <row r="186">
      <c r="A186" s="13" t="inlineStr">
        <is>
          <t>A261</t>
        </is>
      </c>
      <c r="B186" s="2" t="inlineStr">
        <is>
          <t>S3 PREMIUM COLLAPSE - colony share of flock</t>
        </is>
      </c>
      <c r="C186" s="14" t="inlineStr">
        <is>
          <t>% flock</t>
        </is>
      </c>
      <c r="D186" s="16" t="n">
        <v>0.4</v>
      </c>
      <c r="E186" s="16" t="n">
        <v>0.25</v>
      </c>
      <c r="F186" s="16" t="n">
        <v>0.03</v>
      </c>
      <c r="G186" s="16" t="n">
        <v>0</v>
      </c>
      <c r="H186" s="16" t="n">
        <v>0</v>
      </c>
      <c r="I186" s="3" t="inlineStr">
        <is>
          <t>Scenario architecture: Vivian Holst Slack 4 May 2026 (managed conversion / capacity gap with imports / premium collapse); standards s.3.1; conversion completes (mix = S1) but barn overshoots demand</t>
        </is>
      </c>
      <c r="J186" s="3" t="inlineStr">
        <is>
          <t>May 2026</t>
        </is>
      </c>
      <c r="K186" s="3" t="inlineStr"/>
    </row>
    <row r="187">
      <c r="A187" s="13" t="inlineStr">
        <is>
          <t>A262</t>
        </is>
      </c>
      <c r="B187" s="2" t="inlineStr">
        <is>
          <t>S3 PREMIUM COLLAPSE - barn share</t>
        </is>
      </c>
      <c r="C187" s="14" t="inlineStr">
        <is>
          <t>% flock</t>
        </is>
      </c>
      <c r="D187" s="16" t="n">
        <v>0.2</v>
      </c>
      <c r="E187" s="16" t="n">
        <v>0.3</v>
      </c>
      <c r="F187" s="16" t="n">
        <v>0.44</v>
      </c>
      <c r="G187" s="16" t="n">
        <v>0.46</v>
      </c>
      <c r="H187" s="16" t="n">
        <v>0.46</v>
      </c>
      <c r="I187" s="3" t="inlineStr">
        <is>
          <t>As above</t>
        </is>
      </c>
      <c r="J187" s="3" t="inlineStr">
        <is>
          <t>May 2026</t>
        </is>
      </c>
      <c r="K187" s="3" t="inlineStr"/>
    </row>
    <row r="188">
      <c r="A188" s="13" t="inlineStr">
        <is>
          <t>A263</t>
        </is>
      </c>
      <c r="B188" s="2" t="inlineStr">
        <is>
          <t>S3 PREMIUM COLLAPSE - free-range share</t>
        </is>
      </c>
      <c r="C188" s="14" t="inlineStr">
        <is>
          <t>% flock</t>
        </is>
      </c>
      <c r="D188" s="16" t="n">
        <v>0.4</v>
      </c>
      <c r="E188" s="16" t="n">
        <v>0.45</v>
      </c>
      <c r="F188" s="16" t="n">
        <v>0.53</v>
      </c>
      <c r="G188" s="16" t="n">
        <v>0.54</v>
      </c>
      <c r="H188" s="16" t="n">
        <v>0.54</v>
      </c>
      <c r="I188" s="3" t="inlineStr">
        <is>
          <t>As above</t>
        </is>
      </c>
      <c r="J188" s="3" t="inlineStr">
        <is>
          <t>May 2026</t>
        </is>
      </c>
      <c r="K188" s="3" t="inlineStr"/>
    </row>
    <row r="189">
      <c r="A189" s="13" t="inlineStr">
        <is>
          <t>A264</t>
        </is>
      </c>
      <c r="B189" s="2" t="inlineStr">
        <is>
          <t>S3 PREMIUM COLLAPSE - FR premium over barn</t>
        </is>
      </c>
      <c r="C189" s="14" t="inlineStr">
        <is>
          <t>% over barn gate</t>
        </is>
      </c>
      <c r="D189" s="16" t="n">
        <v>0.18</v>
      </c>
      <c r="E189" s="16" t="n">
        <v>0.12</v>
      </c>
      <c r="F189" s="16" t="n">
        <v>0.09</v>
      </c>
      <c r="G189" s="16" t="n">
        <v>0.09</v>
      </c>
      <c r="H189" s="16" t="n">
        <v>0.09</v>
      </c>
      <c r="I189" s="3" t="inlineStr">
        <is>
          <t>Calthorpe Part 3 [00:12:38] downside: 8-10% by FY28 on barn oversupply + FR price war; cost-of-living trade-down (20-25% flippers) reinforces</t>
        </is>
      </c>
      <c r="J189" s="3" t="inlineStr">
        <is>
          <t>11 May 2026</t>
        </is>
      </c>
      <c r="K189" s="3" t="inlineStr"/>
    </row>
    <row r="190">
      <c r="A190" s="13" t="inlineStr">
        <is>
          <t>A265</t>
        </is>
      </c>
      <c r="B190" s="2" t="inlineStr">
        <is>
          <t>S3 PREMIUM COLLAPSE - cage-free gate adjustment</t>
        </is>
      </c>
      <c r="C190" s="14" t="inlineStr">
        <is>
          <t>% on barn+FR gate</t>
        </is>
      </c>
      <c r="D190" s="16" t="n">
        <v>0</v>
      </c>
      <c r="E190" s="16" t="n">
        <v>-0.04</v>
      </c>
      <c r="F190" s="16" t="n">
        <v>-0.04</v>
      </c>
      <c r="G190" s="16" t="n">
        <v>-0.02</v>
      </c>
      <c r="H190" s="16" t="n">
        <v>-0.02</v>
      </c>
      <c r="I190" s="3" t="inlineStr">
        <is>
          <t>Deal-team sizing: barn-tier oversupply discount (Marsden inverse case; scan cross-elasticity barn&lt;-&gt;FR 0.62-0.71)</t>
        </is>
      </c>
      <c r="J190" s="3" t="inlineStr">
        <is>
          <t>May 2026</t>
        </is>
      </c>
      <c r="K190" s="3" t="inlineStr"/>
    </row>
    <row r="191">
      <c r="A191" s="13" t="inlineStr">
        <is>
          <t>A266</t>
        </is>
      </c>
      <c r="B191" s="2" t="inlineStr">
        <is>
          <t>S3 PREMIUM COLLAPSE - supply adjustment</t>
        </is>
      </c>
      <c r="C191" s="14" t="inlineStr">
        <is>
          <t>% volume</t>
        </is>
      </c>
      <c r="D191" s="16" t="n">
        <v>0</v>
      </c>
      <c r="E191" s="16" t="n">
        <v>0</v>
      </c>
      <c r="F191" s="16" t="n">
        <v>0</v>
      </c>
      <c r="G191" s="16" t="n">
        <v>0</v>
      </c>
      <c r="H191" s="16" t="n">
        <v>0</v>
      </c>
      <c r="I191" s="3" t="inlineStr">
        <is>
          <t>Volume holds; effect is price/mix</t>
        </is>
      </c>
      <c r="J191" s="3" t="inlineStr">
        <is>
          <t>May 2026</t>
        </is>
      </c>
      <c r="K191" s="3" t="inlineStr"/>
    </row>
    <row r="192">
      <c r="A192" s="13" t="inlineStr">
        <is>
          <t>A267</t>
        </is>
      </c>
      <c r="B192" s="2" t="inlineStr">
        <is>
          <t>S1 colony-cohort conversion completed by 31 Dec 2027</t>
        </is>
      </c>
      <c r="C192" s="14" t="inlineStr">
        <is>
          <t>% of cohort</t>
        </is>
      </c>
      <c r="D192" s="19" t="n">
        <v>0.95</v>
      </c>
      <c r="E192" s="19" t="n">
        <v>0.9</v>
      </c>
      <c r="F192" s="19" t="n">
        <v>1</v>
      </c>
      <c r="I192" s="3" t="inlineStr">
        <is>
          <t>Deal-team scenario definition</t>
        </is>
      </c>
      <c r="J192" s="3" t="inlineStr">
        <is>
          <t>May 2026</t>
        </is>
      </c>
      <c r="K192" s="3" t="inlineStr">
        <is>
          <t>Boundary metric for scenario classification.</t>
        </is>
      </c>
    </row>
    <row r="193">
      <c r="A193" s="13" t="inlineStr">
        <is>
          <t>A268</t>
        </is>
      </c>
      <c r="B193" s="2" t="inlineStr">
        <is>
          <t>S2 colony-cohort conversion completed by 31 Dec 2027</t>
        </is>
      </c>
      <c r="C193" s="14" t="inlineStr">
        <is>
          <t>% of cohort</t>
        </is>
      </c>
      <c r="D193" s="19" t="n">
        <v>0.75</v>
      </c>
      <c r="E193" s="19" t="n">
        <v>0.7</v>
      </c>
      <c r="F193" s="19" t="n">
        <v>0.8</v>
      </c>
      <c r="I193" s="3" t="inlineStr">
        <is>
          <t>Deal-team scenario definition</t>
        </is>
      </c>
      <c r="J193" s="3" t="inlineStr">
        <is>
          <t>May 2026</t>
        </is>
      </c>
      <c r="K193" s="3" t="inlineStr"/>
    </row>
    <row r="194">
      <c r="A194" s="13" t="inlineStr">
        <is>
          <t>A269</t>
        </is>
      </c>
      <c r="B194" s="2" t="inlineStr">
        <is>
          <t>S3 colony-cohort conversion completed by 31 Dec 2027</t>
        </is>
      </c>
      <c r="C194" s="14" t="inlineStr">
        <is>
          <t>% of cohort</t>
        </is>
      </c>
      <c r="D194" s="19" t="n">
        <v>1</v>
      </c>
      <c r="I194" s="3" t="inlineStr">
        <is>
          <t>Deal-team scenario definition (overshoot)</t>
        </is>
      </c>
      <c r="J194" s="3" t="inlineStr">
        <is>
          <t>May 2026</t>
        </is>
      </c>
      <c r="K194" s="3" t="inlineStr"/>
    </row>
    <row r="195">
      <c r="A195" s="13" t="inlineStr">
        <is>
          <t>A270</t>
        </is>
      </c>
      <c r="B195" s="2" t="inlineStr">
        <is>
          <t>FX sensitivity axis - FY28 NZD/USD low</t>
        </is>
      </c>
      <c r="C195" s="14" t="inlineStr">
        <is>
          <t>USD per NZD</t>
        </is>
      </c>
      <c r="D195" s="15" t="n">
        <v>0.55</v>
      </c>
      <c r="I195" s="3" t="inlineStr">
        <is>
          <t>Deal-team sensitivity axis around house FY28 0.620 (~-11%)</t>
        </is>
      </c>
      <c r="J195" s="3" t="inlineStr">
        <is>
          <t>May 2026</t>
        </is>
      </c>
      <c r="K195" s="3" t="inlineStr">
        <is>
          <t>Standards s.3.2 FX table.</t>
        </is>
      </c>
    </row>
    <row r="196">
      <c r="A196" s="13" t="inlineStr">
        <is>
          <t>A271</t>
        </is>
      </c>
      <c r="B196" s="2" t="inlineStr">
        <is>
          <t>FX sensitivity axis - FY28 NZD/USD high</t>
        </is>
      </c>
      <c r="C196" s="14" t="inlineStr">
        <is>
          <t>USD per NZD</t>
        </is>
      </c>
      <c r="D196" s="15" t="n">
        <v>0.68</v>
      </c>
      <c r="I196" s="3" t="inlineStr">
        <is>
          <t>Deal-team sensitivity axis (~+10%)</t>
        </is>
      </c>
      <c r="J196" s="3" t="inlineStr">
        <is>
          <t>May 2026</t>
        </is>
      </c>
      <c r="K196" s="3" t="inlineStr"/>
    </row>
    <row r="197">
      <c r="A197" s="13" t="inlineStr">
        <is>
          <t>A272</t>
        </is>
      </c>
      <c r="B197" s="2" t="inlineStr">
        <is>
          <t>Timing sensitivity axis - slippage case B</t>
        </is>
      </c>
      <c r="C197" s="14" t="inlineStr">
        <is>
          <t>months past end-2027</t>
        </is>
      </c>
      <c r="D197" s="18" t="n">
        <v>6</v>
      </c>
      <c r="I197" s="3" t="inlineStr">
        <is>
          <t>Deal-team sensitivity axis; Calthorpe Part 3 [00:15:24] "early 2028" slip case</t>
        </is>
      </c>
      <c r="J197" s="3" t="inlineStr">
        <is>
          <t>May 2026</t>
        </is>
      </c>
      <c r="K197" s="3" t="inlineStr"/>
    </row>
    <row r="198">
      <c r="A198" s="13" t="inlineStr">
        <is>
          <t>A273</t>
        </is>
      </c>
      <c r="B198" s="2" t="inlineStr">
        <is>
          <t>Timing sensitivity axis - slippage case C</t>
        </is>
      </c>
      <c r="C198" s="14" t="inlineStr">
        <is>
          <t>months past end-2027</t>
        </is>
      </c>
      <c r="D198" s="18" t="n">
        <v>12</v>
      </c>
      <c r="I198" s="3" t="inlineStr">
        <is>
          <t>Deal-team sensitivity axis; "mid-to-late 2028" if consents start now</t>
        </is>
      </c>
      <c r="J198" s="3" t="inlineStr">
        <is>
          <t>May 2026</t>
        </is>
      </c>
      <c r="K198" s="3" t="inlineStr"/>
    </row>
    <row r="199"/>
    <row r="200">
      <c r="A200" s="4" t="inlineStr">
        <is>
          <t>I.  SUPERSESSION &amp; CONTESTED-INPUT LOG  (explicit per Daniel Reyes Slack 8 May 2026; Hugh holds the line on this in pre-IC review)</t>
        </is>
      </c>
      <c r="B200" s="4" t="n"/>
      <c r="C200" s="4" t="n"/>
      <c r="D200" s="4" t="n"/>
      <c r="E200" s="4" t="n"/>
      <c r="F200" s="4" t="n"/>
      <c r="G200" s="4" t="n"/>
      <c r="H200" s="4" t="n"/>
      <c r="I200" s="4" t="n"/>
      <c r="J200" s="4" t="n"/>
      <c r="K200" s="4" t="n"/>
    </row>
    <row r="201" ht="42" customHeight="1">
      <c r="B201" s="10" t="inlineStr">
        <is>
          <t>SUPERSEDED</t>
        </is>
      </c>
      <c r="C201" s="2" t="inlineStr">
        <is>
          <t>MPI / NAWAC production-system mix 33% colony / 33% barn / 34% free-range (Dec 2022 census; restated unchanged in EPF FY25 annual s.2)</t>
        </is>
      </c>
      <c r="I201" s="3" t="inlineStr">
        <is>
          <t>Superseded as current-era read by 40% FR / 40% colony / 20% barn - Calthorpe Part 1 [00:08:14], corroborated by Antipodean Q3-2025 "informed market-side estimate". 2022 figure retained above as the formal baseline only; EPF will not refresh the public census before 2027.</t>
        </is>
      </c>
    </row>
    <row r="202" ht="42" customHeight="1">
      <c r="B202" s="10" t="inlineStr">
        <is>
          <t>SUPERSEDED</t>
        </is>
      </c>
      <c r="C202" s="2" t="inlineStr">
        <is>
          <t>Deal-team draft producer roster of 5 May 2026 (Aurora ~15%, Better Eggs 10%, Zeagold 8%, long-tail ~21%)</t>
        </is>
      </c>
      <c r="I202" s="3" t="inlineStr">
        <is>
          <t>Superseded by Calthorpe Part 2 central case of 8 May 2026 (Aurora 18%, Better Eggs 9%, Zeagold 7%, long-tail 20%, flock 3.75M) - locked as the working anchor by Vivian + Theo, Slack 8 May. Do not use the Wednesday draft figures.</t>
        </is>
      </c>
    </row>
    <row r="203" ht="42" customHeight="1">
      <c r="B203" s="10" t="inlineStr">
        <is>
          <t>SUPERSEDED</t>
        </is>
      </c>
      <c r="C203" s="2" t="inlineStr">
        <is>
          <t>EPF public per-capita 229 held flat across the forecast (industry-association stats page)</t>
        </is>
      </c>
      <c r="I203" s="3" t="inlineStr">
        <is>
          <t>Superseded as the central path by the ACII Wave 11 projection (230 -&gt; 235, +0.4-0.5% pa dietary-mix drift) per standards s.2.2 and Vivian Slack 5 May. EPF-flat retained as the conservative consumer-demand case.</t>
        </is>
      </c>
    </row>
    <row r="204" ht="42" customHeight="1">
      <c r="B204" s="10" t="inlineStr">
        <is>
          <t>SUPERSEDED</t>
        </is>
      </c>
      <c r="C204" s="2" t="inlineStr">
        <is>
          <t>Shelf-minus-30% subtraction for backing wholesale out of scan shelf prices</t>
        </is>
      </c>
      <c r="I204" s="3" t="inlineStr">
        <is>
          <t>Wrong convention - replaced by divide-by-markup-factor 1.33-1.54 (standards s.2.3; Vivian Slack 5 May: "multiplicative, not additive").</t>
        </is>
      </c>
    </row>
    <row r="205" ht="42" customHeight="1">
      <c r="B205" s="10" t="inlineStr">
        <is>
          <t>CONTESTED</t>
        </is>
      </c>
      <c r="C205" s="2" t="inlineStr">
        <is>
          <t>Broker / IM: free-range premium "30%+ has averaged over the past decade and is expected to remain at or above this level" (IM s.4)</t>
        </is>
      </c>
      <c r="I205" s="3" t="inlineStr">
        <is>
          <t>Contradicted by transaction-price evidence: 18-22% current (Pak'nSave 15-17%; NW/Countdown 20-22%) compressing to ~14% FY27 / ~12% FY28 central - Calthorpe Parts 2-3; Marsden "meaningfully below 30%, trending down"; EU precedent 25-35% -&gt; 12-18%. Model carries the compression path; 30% appears only as the historical marker.</t>
        </is>
      </c>
    </row>
    <row r="206" ht="42" customHeight="1">
      <c r="B206" s="10" t="inlineStr">
        <is>
          <t>CONTESTED</t>
        </is>
      </c>
      <c r="C206" s="2" t="inlineStr">
        <is>
          <t>Broker / IM: "clear path by 2027 - consents in active progress; build from Q3 2026; capex NZ$8-10M" (IM s.5)</t>
        </is>
      </c>
      <c r="I206" s="3" t="inlineStr">
        <is>
          <t>No consent found in public RMA registers (Selwyn + Waikato DC) as of 11 May 2026; expert capex NZ$11-16M at NZ$45-65/bird; end-to-end runway 24-30 months vs 19 months remaining. P(on-time)=~50% if consents privately lodged, ~0% if starting now. Carried as a scenario variable, not a fact.</t>
        </is>
      </c>
    </row>
    <row r="207" ht="42" customHeight="1">
      <c r="B207" s="10" t="inlineStr">
        <is>
          <t>CONTESTED</t>
        </is>
      </c>
      <c r="C207" s="2" t="inlineStr">
        <is>
          <t>Broker / IM: volume growth 5-7% pa, per-capita +1.5-2.0% pa, share capture +2-3pp (IM s.3)</t>
        </is>
      </c>
      <c r="I207" s="3" t="inlineStr">
        <is>
          <t>ACII-supported per-capita drift is +0.4-0.5% pa; population +0.9% pa; category volume ~+1.3-1.5% pa. Broker case requires ~5x the supported per-capita drift (breakeven shown on Forecast tab). Carried only as the sell-side sensitivity.</t>
        </is>
      </c>
    </row>
    <row r="208" ht="42" customHeight="1">
      <c r="B208" s="10" t="inlineStr">
        <is>
          <t>DISCOUNTED</t>
        </is>
      </c>
      <c r="C208" s="2" t="inlineStr">
        <is>
          <t>Whitlock (retired consultant) HPAI "NZ next" commentary</t>
        </is>
      </c>
      <c r="I208" s="3" t="inlineStr">
        <is>
          <t>Contradicts WOAH self-declaration (single Otago property, stamped out, HPAI-free from 24 Apr 2025). Per Vivian Slack 7 May: do not anchor anything on Whitlock; WOAH is ground truth. H7N6 modelled as FY25 one-off cost overlay (3-5%), not structural.</t>
        </is>
      </c>
    </row>
    <row r="209"/>
    <row r="210">
      <c r="A210" s="4" t="inlineStr">
        <is>
          <t>J.  REFRESH GUIDE  (what to update as diligence lands - the workbook is a living document)</t>
        </is>
      </c>
      <c r="B210" s="4" t="n"/>
      <c r="C210" s="4" t="n"/>
      <c r="D210" s="4" t="n"/>
      <c r="E210" s="4" t="n"/>
      <c r="F210" s="4" t="n"/>
      <c r="G210" s="4" t="n"/>
      <c r="H210" s="4" t="n"/>
      <c r="I210" s="4" t="n"/>
      <c r="J210" s="4" t="n"/>
      <c r="K210" s="4" t="n"/>
    </row>
    <row r="211">
      <c r="B211" s="3" t="inlineStr">
        <is>
          <t>- Audited Aurora financials + FY24 adjusted-EBITDA bridge (data room) -&gt; rows F: arv/aeb/avl; re-run share triangulation on Historical tab.</t>
        </is>
      </c>
    </row>
    <row r="212">
      <c r="B212" s="3" t="inlineStr">
        <is>
          <t>- Consent lodgement evidence (Selwyn / Waikato registers + direct management question) -&gt; Transition tab timeline block resolves; update P(on-time) row.</t>
        </is>
      </c>
    </row>
    <row r="213">
      <c r="B213" s="3" t="inlineStr">
        <is>
          <t>- Audited top-10 customer breakdown incl. FSNI / FSSI split -&gt; customer-concentration input (60-70% directional only today).</t>
        </is>
      </c>
    </row>
    <row r="214">
      <c r="B214" s="3" t="inlineStr">
        <is>
          <t>- Calthorpe-style quarterly flock / mix re-read or 2027 census refresh -&gt; flock + system-mix rows (s.D).</t>
        </is>
      </c>
    </row>
    <row r="215">
      <c r="B215" s="3" t="inlineStr">
        <is>
          <t>- RetailIQ scan data Q2-2026 onward -&gt; shelf prices, tier mix, elasticities (s.E); re-check FR premium realisation vs the 18-14-12 path.</t>
        </is>
      </c>
    </row>
    <row r="216">
      <c r="B216" s="3" t="inlineStr">
        <is>
          <t>- Halberd Macro Strategy quarterly FX update -&gt; s.B (do not source FX externally).</t>
        </is>
      </c>
    </row>
    <row r="217">
      <c r="B217" s="3" t="inlineStr">
        <is>
          <t>- Equipment-order confirmation (Big Dutchman tranche) + electricity re-tariff terms -&gt; Transition timeline + cost sensitivities.</t>
        </is>
      </c>
    </row>
  </sheetData>
  <mergeCells count="26">
    <mergeCell ref="C203:F203"/>
    <mergeCell ref="B217:K217"/>
    <mergeCell ref="I206:K206"/>
    <mergeCell ref="B211:K211"/>
    <mergeCell ref="C208:F208"/>
    <mergeCell ref="I205:K205"/>
    <mergeCell ref="B213:K213"/>
    <mergeCell ref="B216:K216"/>
    <mergeCell ref="B212:K212"/>
    <mergeCell ref="C204:F204"/>
    <mergeCell ref="I201:K201"/>
    <mergeCell ref="B215:K215"/>
    <mergeCell ref="A3:K3"/>
    <mergeCell ref="C206:F206"/>
    <mergeCell ref="B214:K214"/>
    <mergeCell ref="A2:K2"/>
    <mergeCell ref="I202:K202"/>
    <mergeCell ref="C205:F205"/>
    <mergeCell ref="B11:K11"/>
    <mergeCell ref="C202:F202"/>
    <mergeCell ref="I208:K208"/>
    <mergeCell ref="I204:K204"/>
    <mergeCell ref="I207:K207"/>
    <mergeCell ref="C201:F201"/>
    <mergeCell ref="C207:F207"/>
    <mergeCell ref="I203:K20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E75B6"/>
    <outlinePr summaryBelow="1" summaryRight="1"/>
    <pageSetUpPr/>
  </sheetPr>
  <dimension ref="A1:I9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" customWidth="1" min="1" max="1"/>
    <col width="52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30" customWidth="1" min="8" max="8"/>
    <col width="74" customWidth="1" min="9" max="9"/>
  </cols>
  <sheetData>
    <row r="1">
      <c r="A1" s="1" t="inlineStr">
        <is>
          <t>NZ SHELL-EGG MARKET - HISTORICAL SIZING (FY2023 - FY2025)</t>
        </is>
      </c>
    </row>
    <row r="2" ht="24" customHeight="1">
      <c r="A2" s="3" t="inlineStr">
        <is>
          <t>Two independent builds per Halberd standards s.2.1: TOP-DOWN (retail lens) and BOTTOM-UP (production lens), reconciled - the gap is surfaced and explained, not normalised away. USD headline / NZD side-by-side. All inputs live on the Assumptions tab (green = cross-tab reference). Legend: Assumptions tab.</t>
        </is>
      </c>
    </row>
    <row r="3"/>
    <row r="4">
      <c r="A4" s="4" t="inlineStr">
        <is>
          <t>HEADLINE OUTPUTS</t>
        </is>
      </c>
      <c r="B4" s="4" t="n"/>
      <c r="C4" s="4" t="n"/>
      <c r="D4" s="4" t="n"/>
      <c r="E4" s="4" t="n"/>
      <c r="F4" s="4" t="n"/>
      <c r="G4" s="4" t="n"/>
      <c r="H4" s="4" t="n"/>
      <c r="I4" s="4" t="n"/>
    </row>
    <row r="5">
      <c r="B5" s="5" t="inlineStr">
        <is>
          <t>FY24 retail-channel market size (top-down)</t>
        </is>
      </c>
      <c r="E5" s="22">
        <f>'Historical_Sizing'!$E$23</f>
        <v/>
      </c>
      <c r="F5" s="23">
        <f>'Historical_Sizing'!$E$20</f>
        <v/>
      </c>
    </row>
    <row r="6">
      <c r="B6" s="5" t="inlineStr">
        <is>
          <t>Producer-side market size, current-era central (bottom-up)</t>
        </is>
      </c>
      <c r="E6" s="22">
        <f>'Historical_Sizing'!$E$44*'Assumptions'!$D$19</f>
        <v/>
      </c>
      <c r="F6" s="23">
        <f>'Historical_Sizing'!$E$44</f>
        <v/>
      </c>
      <c r="G6" s="3" t="inlineStr">
        <is>
          <t>FY26-era central (FX @ FY26)</t>
        </is>
      </c>
    </row>
    <row r="7">
      <c r="B7" s="5" t="inlineStr">
        <is>
          <t>Structural reconciliation gap (bottom-up vs top-down)</t>
        </is>
      </c>
      <c r="E7" s="24">
        <f>'Historical_Sizing'!$F$45</f>
        <v/>
      </c>
      <c r="G7" s="3" t="inlineStr">
        <is>
          <t>Structural - foodservice + industrial + own-use/institutional</t>
        </is>
      </c>
    </row>
    <row r="8">
      <c r="B8" s="5" t="inlineStr">
        <is>
          <t>Aurora volume share - working anchor (bottom-up basis)</t>
        </is>
      </c>
      <c r="E8" s="25">
        <f>'Assumptions'!$D$59</f>
        <v/>
      </c>
      <c r="G8" s="3" t="inlineStr">
        <is>
          <t>vs ~22-23% retail-channel share (lens difference)</t>
        </is>
      </c>
    </row>
    <row r="9">
      <c r="B9" s="5" t="inlineStr">
        <is>
          <t>Aurora FY24A revenue</t>
        </is>
      </c>
      <c r="E9" s="22">
        <f>'Assumptions'!$D$126*'Assumptions'!$D$17</f>
        <v/>
      </c>
      <c r="F9" s="23">
        <f>'Assumptions'!$D$126</f>
        <v/>
      </c>
    </row>
    <row r="10"/>
    <row r="11">
      <c r="A11" s="4" t="inlineStr">
        <is>
          <t>1.  TOP-DOWN - RETAIL LENS  (population x per-capita x average shelf price, backed to wholesale by the markup factor - the Antipodean / deal-team method)</t>
        </is>
      </c>
      <c r="B11" s="4" t="n"/>
      <c r="C11" s="4" t="n"/>
      <c r="D11" s="4" t="n"/>
      <c r="E11" s="4" t="n"/>
      <c r="F11" s="4" t="n"/>
      <c r="G11" s="4" t="n"/>
      <c r="H11" s="4" t="n"/>
      <c r="I11" s="4" t="n"/>
    </row>
    <row r="12">
      <c r="B12" s="5" t="inlineStr">
        <is>
          <t>Line</t>
        </is>
      </c>
      <c r="C12" s="5" t="inlineStr">
        <is>
          <t>Unit</t>
        </is>
      </c>
      <c r="D12" s="12" t="inlineStr">
        <is>
          <t>FY2023</t>
        </is>
      </c>
      <c r="E12" s="12" t="inlineStr">
        <is>
          <t>FY2024</t>
        </is>
      </c>
      <c r="F12" s="12" t="inlineStr">
        <is>
          <t>FY2025</t>
        </is>
      </c>
      <c r="I12" s="3" t="inlineStr">
        <is>
          <t>Source / notes</t>
        </is>
      </c>
    </row>
    <row r="13">
      <c r="B13" s="14" t="inlineStr">
        <is>
          <t>NZ population</t>
        </is>
      </c>
      <c r="C13" s="14" t="inlineStr">
        <is>
          <t>M people</t>
        </is>
      </c>
      <c r="D13" s="26">
        <f>'Assumptions'!$D$29/(1+'Assumptions'!$D$30)</f>
        <v/>
      </c>
      <c r="E13" s="26">
        <f>'Assumptions'!$D$29</f>
        <v/>
      </c>
      <c r="F13" s="26">
        <f>'Assumptions'!$D$29*(1+'Assumptions'!$D$30)</f>
        <v/>
      </c>
      <c r="I13" s="3" t="inlineStr">
        <is>
          <t>Treasury baseline 5.22M FY24, +0.9% pa (Assumptions C)</t>
        </is>
      </c>
    </row>
    <row r="14">
      <c r="B14" s="14" t="inlineStr">
        <is>
          <t>Per-capita consumption</t>
        </is>
      </c>
      <c r="C14" s="14" t="inlineStr">
        <is>
          <t>eggs/person/yr</t>
        </is>
      </c>
      <c r="D14" s="27">
        <f>'Assumptions'!$D$31</f>
        <v/>
      </c>
      <c r="E14" s="27">
        <f>'Assumptions'!$D$32</f>
        <v/>
      </c>
      <c r="F14" s="27">
        <f>'Assumptions'!$D$33</f>
        <v/>
      </c>
      <c r="I14" s="3" t="inlineStr">
        <is>
          <t>ACII Wave 11 actuals (FY23 = deal-team estimate)</t>
        </is>
      </c>
    </row>
    <row r="15">
      <c r="B15" s="14" t="inlineStr">
        <is>
          <t>Total consumption</t>
        </is>
      </c>
      <c r="C15" s="14" t="inlineStr">
        <is>
          <t>B eggs</t>
        </is>
      </c>
      <c r="D15" s="28">
        <f>D13*D14/1000</f>
        <v/>
      </c>
      <c r="E15" s="28">
        <f>E13*E14/1000</f>
        <v/>
      </c>
      <c r="F15" s="28">
        <f>F13*F14/1000</f>
        <v/>
      </c>
    </row>
    <row r="16">
      <c r="B16" s="14" t="inlineStr">
        <is>
          <t>Total consumption</t>
        </is>
      </c>
      <c r="C16" s="14" t="inlineStr">
        <is>
          <t>M dozen</t>
        </is>
      </c>
      <c r="D16" s="29">
        <f>D15*1000/'Assumptions'!$D$41</f>
        <v/>
      </c>
      <c r="E16" s="29">
        <f>E15*1000/'Assumptions'!$D$41</f>
        <v/>
      </c>
      <c r="F16" s="29">
        <f>F15*1000/'Assumptions'!$D$41</f>
        <v/>
      </c>
    </row>
    <row r="17">
      <c r="B17" s="14" t="inlineStr">
        <is>
          <t>Average retail shelf price (pack-weighted)</t>
        </is>
      </c>
      <c r="C17" s="14" t="inlineStr">
        <is>
          <t>NZ$/dozen</t>
        </is>
      </c>
      <c r="D17" s="8">
        <f>'Assumptions'!$D$89</f>
        <v/>
      </c>
      <c r="E17" s="8">
        <f>'Assumptions'!$D$90</f>
        <v/>
      </c>
      <c r="F17" s="8">
        <f>'Assumptions'!$D$91</f>
        <v/>
      </c>
      <c r="I17" s="3" t="inlineStr">
        <is>
          <t>Calibration inputs - FY24 reproduces the NZ$455M anchor; refresh from scan data</t>
        </is>
      </c>
    </row>
    <row r="18">
      <c r="B18" s="14" t="inlineStr">
        <is>
          <t>Retail shelf value (GMV) at retail pricing</t>
        </is>
      </c>
      <c r="C18" s="14" t="inlineStr">
        <is>
          <t>NZ$M</t>
        </is>
      </c>
      <c r="D18" s="30">
        <f>D16*D17</f>
        <v/>
      </c>
      <c r="E18" s="30">
        <f>E16*E17</f>
        <v/>
      </c>
      <c r="F18" s="30">
        <f>F16*F17</f>
        <v/>
      </c>
      <c r="I18" s="3" t="inlineStr">
        <is>
          <t>All consumption volume priced at retail shelf (method scope - see reconciliation)</t>
        </is>
      </c>
    </row>
    <row r="19">
      <c r="B19" s="14" t="inlineStr">
        <is>
          <t>Shelf-over-gate markup factor</t>
        </is>
      </c>
      <c r="C19" s="14" t="inlineStr">
        <is>
          <t>x</t>
        </is>
      </c>
      <c r="D19" s="26">
        <f>'Assumptions'!$D$88</f>
        <v/>
      </c>
      <c r="E19" s="26">
        <f>'Assumptions'!$D$88</f>
        <v/>
      </c>
      <c r="F19" s="26">
        <f>'Assumptions'!$D$88</f>
        <v/>
      </c>
      <c r="I19" s="3" t="inlineStr">
        <is>
          <t>Divide by 1.33-1.54; never subtract a flat % (standards s.2.3)</t>
        </is>
      </c>
    </row>
    <row r="20">
      <c r="B20" s="14" t="inlineStr">
        <is>
          <t>TOP-DOWN retail market size (wholesale-equivalent)</t>
        </is>
      </c>
      <c r="C20" s="14" t="inlineStr">
        <is>
          <t>NZ$M</t>
        </is>
      </c>
      <c r="D20" s="30">
        <f>D18/D19</f>
        <v/>
      </c>
      <c r="E20" s="30">
        <f>E18/E19</f>
        <v/>
      </c>
      <c r="F20" s="30">
        <f>F18/F19</f>
        <v/>
      </c>
      <c r="I20" s="3" t="inlineStr">
        <is>
          <t>FY24 ~NZ$455M = Antipodean Agri Research published top-down</t>
        </is>
      </c>
    </row>
    <row r="21">
      <c r="B21" s="14" t="inlineStr">
        <is>
          <t xml:space="preserve">  growth YoY</t>
        </is>
      </c>
      <c r="C21" s="14" t="inlineStr">
        <is>
          <t>%</t>
        </is>
      </c>
      <c r="E21" s="31">
        <f>E20/D20-1</f>
        <v/>
      </c>
      <c r="F21" s="31">
        <f>F20/E20-1</f>
        <v/>
      </c>
      <c r="I21" s="3" t="inlineStr">
        <is>
          <t>Contested: Antipodean tracks revenue ~-0.7% pa 2025-26 (production-volume-led) vs Marsden "revenue growing modestly on mix" - surfaced, not resolved; price path is a calibration</t>
        </is>
      </c>
    </row>
    <row r="22">
      <c r="B22" s="14" t="inlineStr">
        <is>
          <t>NZD/USD (FY-aligned)</t>
        </is>
      </c>
      <c r="C22" s="14" t="inlineStr">
        <is>
          <t>USD/NZD</t>
        </is>
      </c>
      <c r="D22" s="32">
        <f>'Assumptions'!$D$16</f>
        <v/>
      </c>
      <c r="E22" s="32">
        <f>'Assumptions'!$D$17</f>
        <v/>
      </c>
      <c r="F22" s="32">
        <f>'Assumptions'!$D$18</f>
        <v/>
      </c>
      <c r="I22" s="3" t="inlineStr">
        <is>
          <t>halberd_central_financial_assumptions.xlsx</t>
        </is>
      </c>
    </row>
    <row r="23">
      <c r="B23" s="14" t="inlineStr">
        <is>
          <t>TOP-DOWN retail market size</t>
        </is>
      </c>
      <c r="C23" s="14" t="inlineStr">
        <is>
          <t>US$M</t>
        </is>
      </c>
      <c r="D23" s="30">
        <f>D20*D22</f>
        <v/>
      </c>
      <c r="E23" s="30">
        <f>E20*E22</f>
        <v/>
      </c>
      <c r="F23" s="30">
        <f>F20*F22</f>
        <v/>
      </c>
      <c r="I23" s="3" t="inlineStr">
        <is>
          <t>USD headline per firm convention</t>
        </is>
      </c>
    </row>
    <row r="24"/>
    <row r="25">
      <c r="A25" s="4" t="inlineStr">
        <is>
          <t>2.  BOTTOM-UP - PRODUCTION LENS  (national flock x lay rate x utilisation x blended producer gate - the Calthorpe method)</t>
        </is>
      </c>
      <c r="B25" s="4" t="n"/>
      <c r="C25" s="4" t="n"/>
      <c r="D25" s="4" t="n"/>
      <c r="E25" s="4" t="n"/>
      <c r="F25" s="4" t="n"/>
      <c r="G25" s="4" t="n"/>
      <c r="H25" s="4" t="n"/>
      <c r="I25" s="4" t="n"/>
    </row>
    <row r="26">
      <c r="B26" s="5" t="inlineStr">
        <is>
          <t>Line</t>
        </is>
      </c>
      <c r="C26" s="5" t="inlineStr">
        <is>
          <t>Unit</t>
        </is>
      </c>
      <c r="D26" s="12" t="inlineStr">
        <is>
          <t>FY2023</t>
        </is>
      </c>
      <c r="E26" s="12" t="inlineStr">
        <is>
          <t>FY2024</t>
        </is>
      </c>
      <c r="F26" s="12" t="inlineStr">
        <is>
          <t>FY2025</t>
        </is>
      </c>
      <c r="I26" s="3" t="inlineStr">
        <is>
          <t>Source / notes</t>
        </is>
      </c>
    </row>
    <row r="27">
      <c r="B27" s="14" t="inlineStr">
        <is>
          <t>National layer flock (insider-consistent estimates)</t>
        </is>
      </c>
      <c r="C27" s="14" t="inlineStr">
        <is>
          <t>M hens</t>
        </is>
      </c>
      <c r="D27" s="26">
        <f>'Assumptions'!$D$46</f>
        <v/>
      </c>
      <c r="E27" s="26">
        <f>'Assumptions'!$D$47</f>
        <v/>
      </c>
      <c r="F27" s="26">
        <f>'Assumptions'!$D$48</f>
        <v/>
      </c>
      <c r="I27" s="3" t="inlineStr">
        <is>
          <t>Deal-team interpolation: census 3.45M (Dec-22) -&gt; insider 3.75M (FY26); official MPI 3.4-3.5M is stale</t>
        </is>
      </c>
    </row>
    <row r="28">
      <c r="B28" s="14" t="inlineStr">
        <is>
          <t>Eggs per layer per year</t>
        </is>
      </c>
      <c r="C28" s="14" t="inlineStr">
        <is>
          <t>eggs</t>
        </is>
      </c>
      <c r="D28" s="27">
        <f>'Assumptions'!$D$50</f>
        <v/>
      </c>
      <c r="E28" s="27">
        <f>'Assumptions'!$D$50</f>
        <v/>
      </c>
      <c r="F28" s="27">
        <f>'Assumptions'!$D$50</f>
        <v/>
      </c>
      <c r="I28" s="3" t="inlineStr">
        <is>
          <t>Calthorpe Part 3 / EPF 290-305</t>
        </is>
      </c>
    </row>
    <row r="29">
      <c r="B29" s="14" t="inlineStr">
        <is>
          <t>Utilisation</t>
        </is>
      </c>
      <c r="C29" s="14" t="inlineStr">
        <is>
          <t>%</t>
        </is>
      </c>
      <c r="D29" s="33">
        <f>'Assumptions'!$D$51</f>
        <v/>
      </c>
      <c r="E29" s="33">
        <f>'Assumptions'!$D$51</f>
        <v/>
      </c>
      <c r="F29" s="33">
        <f>'Assumptions'!$D$51</f>
        <v/>
      </c>
    </row>
    <row r="30">
      <c r="B30" s="14" t="inlineStr">
        <is>
          <t>Production</t>
        </is>
      </c>
      <c r="C30" s="14" t="inlineStr">
        <is>
          <t>B eggs</t>
        </is>
      </c>
      <c r="D30" s="28">
        <f>D27*D28*D29/1000</f>
        <v/>
      </c>
      <c r="E30" s="28">
        <f>E27*E28*E29/1000</f>
        <v/>
      </c>
      <c r="F30" s="28">
        <f>F27*F28*F29/1000</f>
        <v/>
      </c>
    </row>
    <row r="31">
      <c r="B31" s="14" t="inlineStr">
        <is>
          <t>Production</t>
        </is>
      </c>
      <c r="C31" s="14" t="inlineStr">
        <is>
          <t>M dozen</t>
        </is>
      </c>
      <c r="D31" s="29">
        <f>D30*1000/'Assumptions'!$D$41</f>
        <v/>
      </c>
      <c r="E31" s="29">
        <f>E30*1000/'Assumptions'!$D$41</f>
        <v/>
      </c>
      <c r="F31" s="29">
        <f>F30*1000/'Assumptions'!$D$41</f>
        <v/>
      </c>
    </row>
    <row r="32">
      <c r="B32" s="14" t="inlineStr">
        <is>
          <t>Blended producer gate - all channels</t>
        </is>
      </c>
      <c r="C32" s="14" t="inlineStr">
        <is>
          <t>NZ$/dozen</t>
        </is>
      </c>
      <c r="D32" s="8">
        <f>'Assumptions'!$D$109</f>
        <v/>
      </c>
      <c r="E32" s="8">
        <f>'Assumptions'!$D$109</f>
        <v/>
      </c>
      <c r="F32" s="8">
        <f>'Assumptions'!$D$109</f>
        <v/>
      </c>
      <c r="I32" s="3" t="inlineStr">
        <is>
          <t>Calibration anchor NZ$6.40 (implied by insider NZ$535-545M); Aurora realised NZ$6.46/doz corroborates</t>
        </is>
      </c>
    </row>
    <row r="33">
      <c r="B33" s="14" t="inlineStr">
        <is>
          <t>BOTTOM-UP producer-side market size</t>
        </is>
      </c>
      <c r="C33" s="14" t="inlineStr">
        <is>
          <t>NZ$M</t>
        </is>
      </c>
      <c r="D33" s="30">
        <f>D31*D32</f>
        <v/>
      </c>
      <c r="E33" s="30">
        <f>E31*E32</f>
        <v/>
      </c>
      <c r="F33" s="30">
        <f>F31*F32</f>
        <v/>
      </c>
    </row>
    <row r="34">
      <c r="B34" s="14" t="inlineStr">
        <is>
          <t xml:space="preserve">  growth YoY</t>
        </is>
      </c>
      <c r="C34" s="14" t="inlineStr">
        <is>
          <t>%</t>
        </is>
      </c>
      <c r="E34" s="31">
        <f>E33/D33-1</f>
        <v/>
      </c>
      <c r="F34" s="31">
        <f>F33/E33-1</f>
        <v/>
      </c>
    </row>
    <row r="35">
      <c r="B35" s="14" t="inlineStr">
        <is>
          <t>NZD/USD (FY-aligned)</t>
        </is>
      </c>
      <c r="C35" s="14" t="inlineStr">
        <is>
          <t>USD/NZD</t>
        </is>
      </c>
      <c r="D35" s="32">
        <f>'Assumptions'!$D$16</f>
        <v/>
      </c>
      <c r="E35" s="32">
        <f>'Assumptions'!$D$17</f>
        <v/>
      </c>
      <c r="F35" s="32">
        <f>'Assumptions'!$D$18</f>
        <v/>
      </c>
    </row>
    <row r="36">
      <c r="B36" s="14" t="inlineStr">
        <is>
          <t>BOTTOM-UP producer-side market size</t>
        </is>
      </c>
      <c r="C36" s="14" t="inlineStr">
        <is>
          <t>US$M</t>
        </is>
      </c>
      <c r="D36" s="30">
        <f>D33*D35</f>
        <v/>
      </c>
      <c r="E36" s="30">
        <f>E33*E35</f>
        <v/>
      </c>
      <c r="F36" s="30">
        <f>F33*F35</f>
        <v/>
      </c>
    </row>
    <row r="37"/>
    <row r="38">
      <c r="B38" s="5" t="inlineStr">
        <is>
          <t>Cross-check: channel-gate build (Part 4 transaction-price evidence)</t>
        </is>
      </c>
      <c r="C38" s="14" t="inlineStr">
        <is>
          <t>NZ$/dozen</t>
        </is>
      </c>
      <c r="E38" s="8">
        <f>('Assumptions'!$D$97*'Assumptions'!$D$103+'Assumptions'!$D$98*'Assumptions'!$D$102+'Assumptions'!$D$99*'Assumptions'!$D$101+'Assumptions'!$D$100*'Assumptions'!$D$108)*'Assumptions'!$D$83+'Assumptions'!$D$84*'Assumptions'!$D$104+'Assumptions'!$D$85*'Assumptions'!$D$105+'Assumptions'!$D$86*'Assumptions'!$D$106+'Assumptions'!$D$87*'Assumptions'!$D$107</f>
        <v/>
      </c>
      <c r="I38" s="3" t="inlineStr">
        <is>
          <t>Retail gate weighted by scan tier mix, then channel-weighted. Lands ~NZ$5.1/doz.</t>
        </is>
      </c>
    </row>
    <row r="39">
      <c r="B39" s="14" t="inlineStr">
        <is>
          <t>Cross-check: implied producer revenue at channel-gate build (FY24 volume)</t>
        </is>
      </c>
      <c r="C39" s="14" t="inlineStr">
        <is>
          <t>NZ$M</t>
        </is>
      </c>
      <c r="E39" s="30">
        <f>E31*'Historical_Sizing'!$E$38</f>
        <v/>
      </c>
      <c r="I39" s="10" t="inlineStr">
        <is>
          <t>SPREAD SURFACED: channel-gate evidence supports ~NZ$425-440M vs the NZ$6.40-blend headline ~NZ$533M (FY24). Working anchor stays the insider blend per Slack 8 May; the ~20% pricing spread is a named confirmatory question (blended realisation incl. premium/direct/PL mix). Levels scale linearly with the blend input; growth and scenario deltas are robust.</t>
        </is>
      </c>
    </row>
    <row r="40"/>
    <row r="41">
      <c r="A41" s="4" t="inlineStr">
        <is>
          <t>3.  TOP-DOWN vs BOTTOM-UP RECONCILIATION  (standards s.2.1: state preferred method per question; explain the structural gap; do NOT normalise it away)</t>
        </is>
      </c>
      <c r="B41" s="4" t="n"/>
      <c r="C41" s="4" t="n"/>
      <c r="D41" s="4" t="n"/>
      <c r="E41" s="4" t="n"/>
      <c r="F41" s="4" t="n"/>
      <c r="G41" s="4" t="n"/>
      <c r="H41" s="4" t="n"/>
      <c r="I41" s="4" t="n"/>
    </row>
    <row r="42">
      <c r="B42" s="5" t="inlineStr">
        <is>
          <t>Canonical anchor comparison (as run by the deal team + Calthorpe Part 3):</t>
        </is>
      </c>
    </row>
    <row r="43">
      <c r="B43" s="14" t="inlineStr">
        <is>
          <t>Top-down, FY24 (retail lens)</t>
        </is>
      </c>
      <c r="C43" s="14" t="inlineStr">
        <is>
          <t>NZ$M</t>
        </is>
      </c>
      <c r="E43" s="30">
        <f>'Historical_Sizing'!$E$20</f>
        <v/>
      </c>
      <c r="I43" s="3" t="inlineStr">
        <is>
          <t>Pop 5.22M x 229-227 eggs x avg shelf / 1.435 markup = ~NZ$455M (Antipodean Q3-2025 published the same build)</t>
        </is>
      </c>
    </row>
    <row r="44">
      <c r="B44" s="14" t="inlineStr">
        <is>
          <t>Bottom-up, current-era central (production lens)</t>
        </is>
      </c>
      <c r="C44" s="14" t="inlineStr">
        <is>
          <t>NZ$M</t>
        </is>
      </c>
      <c r="E44" s="29">
        <f>'Assumptions'!$D$49*'Assumptions'!$D$50*'Assumptions'!$D$51/'Assumptions'!$D$41*1000*'Assumptions'!$D$109/1000</f>
        <v/>
      </c>
      <c r="I44" s="3" t="inlineStr">
        <is>
          <t>3.75M hens x 300 eggs x 90% / 12 x NZ$6.40 = ~NZ$540M (Calthorpe Part 3 [00:01:54]: "NZ$535-545M")</t>
        </is>
      </c>
    </row>
    <row r="45">
      <c r="B45" s="5" t="inlineStr">
        <is>
          <t>Reconciliation gap (bottom-up over top-down)</t>
        </is>
      </c>
      <c r="C45" s="14" t="inlineStr">
        <is>
          <t>NZ$M / %</t>
        </is>
      </c>
      <c r="E45" s="30">
        <f>E44-E43</f>
        <v/>
      </c>
      <c r="F45" s="34">
        <f>E44/E43-1</f>
        <v/>
      </c>
      <c r="I45" s="3" t="inlineStr">
        <is>
          <t>Structural ~19% gap - "the answer to what is missing from a retail-only sizing" (Calthorpe Part 3 [00:05:22])</t>
        </is>
      </c>
    </row>
    <row r="46"/>
    <row r="47">
      <c r="B47" s="5" t="inlineStr">
        <is>
          <t>Gap closure - value flowing through channels invisible to retail pricing (sums the channel mix back per Calthorpe Part 3 [00:06:14]):</t>
        </is>
      </c>
    </row>
    <row r="48">
      <c r="B48" s="14" t="inlineStr">
        <is>
          <t>Channel</t>
        </is>
      </c>
      <c r="C48" s="14" t="inlineStr">
        <is>
          <t>% natl volume</t>
        </is>
      </c>
      <c r="D48" s="35" t="inlineStr">
        <is>
          <t>M dozen</t>
        </is>
      </c>
      <c r="E48" s="35" t="inlineStr">
        <is>
          <t>Gate NZ$/doz</t>
        </is>
      </c>
      <c r="F48" s="35" t="inlineStr">
        <is>
          <t>Value NZ$M</t>
        </is>
      </c>
    </row>
    <row r="49">
      <c r="B49" s="14" t="inlineStr">
        <is>
          <t>Foodservice (Bidfood / Gilmours wholesale)</t>
        </is>
      </c>
      <c r="C49" s="36">
        <f>'Assumptions'!$D$84</f>
        <v/>
      </c>
      <c r="D49" s="29">
        <f>'Assumptions'!$D$84*('Assumptions'!$D$49*'Assumptions'!$D$50*'Assumptions'!$D$51/'Assumptions'!$D$41)</f>
        <v/>
      </c>
      <c r="E49" s="8">
        <f>'Assumptions'!$D$104</f>
        <v/>
      </c>
      <c r="F49" s="30">
        <f>D49*E49</f>
        <v/>
      </c>
    </row>
    <row r="50">
      <c r="B50" s="14" t="inlineStr">
        <is>
          <t>Industrial / processor (bakeries, mayo, breakers)</t>
        </is>
      </c>
      <c r="C50" s="36">
        <f>'Assumptions'!$D$85</f>
        <v/>
      </c>
      <c r="D50" s="29">
        <f>'Assumptions'!$D$85*('Assumptions'!$D$49*'Assumptions'!$D$50*'Assumptions'!$D$51/'Assumptions'!$D$41)</f>
        <v/>
      </c>
      <c r="E50" s="8">
        <f>'Assumptions'!$D$105</f>
        <v/>
      </c>
      <c r="F50" s="30">
        <f>D50*E50</f>
        <v/>
      </c>
    </row>
    <row r="51">
      <c r="B51" s="14" t="inlineStr">
        <is>
          <t>Own-use / institutional (schools, prisons, hospitals, defence)</t>
        </is>
      </c>
      <c r="C51" s="36">
        <f>'Assumptions'!$D$86</f>
        <v/>
      </c>
      <c r="D51" s="29">
        <f>'Assumptions'!$D$86*('Assumptions'!$D$49*'Assumptions'!$D$50*'Assumptions'!$D$51/'Assumptions'!$D$41)</f>
        <v/>
      </c>
      <c r="E51" s="8">
        <f>'Assumptions'!$D$106</f>
        <v/>
      </c>
      <c r="F51" s="30">
        <f>D51*E51</f>
        <v/>
      </c>
    </row>
    <row r="52">
      <c r="B52" s="5" t="inlineStr">
        <is>
          <t>Total non-retail-priced value (ex direct)</t>
        </is>
      </c>
      <c r="C52" s="36">
        <f>'Assumptions'!$D$84+'Assumptions'!$D$85+'Assumptions'!$D$86</f>
        <v/>
      </c>
      <c r="D52" s="30">
        <f>SUM(D49:D51)</f>
        <v/>
      </c>
      <c r="F52" s="30">
        <f>SUM(F49:F51)</f>
        <v/>
      </c>
    </row>
    <row r="53">
      <c r="B53" s="5" t="inlineStr">
        <is>
          <t>Residual vs observed gap</t>
        </is>
      </c>
      <c r="F53" s="30">
        <f>E45-F52</f>
        <v/>
      </c>
      <c r="I53" s="3" t="inlineStr">
        <is>
          <t>Residual ~NZ$0.2M - the gap closes on the three structural channels. Direct/DTC (2.5%) prices at/above retail so it does not widen the gap; a residual is acceptable and informative (standards s.2.1).</t>
        </is>
      </c>
    </row>
    <row r="54"/>
    <row r="55">
      <c r="B55" s="5" t="inlineStr">
        <is>
          <t>Which method for which question (standards s.2.1(c)):</t>
        </is>
      </c>
    </row>
    <row r="56">
      <c r="B56" s="3" t="inlineStr">
        <is>
          <t>- VOLUME SHARES: use BOTTOM-UP. Aurora = 18% of national volume (Calthorpe central).</t>
        </is>
      </c>
    </row>
    <row r="57">
      <c r="B57" s="3" t="inlineStr">
        <is>
          <t>- RETAIL-CHANNEL SHARES: use TOP-DOWN. Aurora = ~22-23% of retail-channel volume - looks bigger through the retail lens because its 72% retail mix exceeds the ~70% industry average; the reverse holds for industrial-heavy Heyden.</t>
        </is>
      </c>
    </row>
    <row r="58">
      <c r="B58" s="3" t="inlineStr">
        <is>
          <t>- Structural sources of the gap: (1) channel scope - foodservice / industrial / own-use never touch a retail price; (2) flock vintage - insider 3.75M vs official census 3.4-3.5M (+~7%); (3) price lens - producer blended gate NZ$6.40 vs retail-wholesale-equivalent ~NZ$4.61 (=6.61/1.435).</t>
        </is>
      </c>
    </row>
    <row r="59">
      <c r="B59" s="14" t="inlineStr">
        <is>
          <t>Definitional spread also surfaced: consumption volume vs production volume</t>
        </is>
      </c>
      <c r="D59" s="30">
        <f>'Historical_Sizing'!$E$16</f>
        <v/>
      </c>
      <c r="E59" s="30">
        <f>'Historical_Sizing'!$E$31</f>
        <v/>
      </c>
      <c r="F59" s="31">
        <f>'Historical_Sizing'!$E$16/'Historical_Sizing'!$E$31-1</f>
        <v/>
      </c>
      <c r="I59" s="10" t="inlineStr">
        <is>
          <t>Consumption-implied ~99M doz (FY24) runs ~19% above flock-implied shell production ~83M doz: per-capita 229 includes egg-product equivalents (liquid/processed, partly imported) and the registered flock under-counts. CONFIRMATORY ITEM - do not force the two to match.</t>
        </is>
      </c>
    </row>
    <row r="60"/>
    <row r="61">
      <c r="A61" s="4" t="inlineStr">
        <is>
          <t>4.  PRODUCER ROSTER - BOTTOM-UP BY PRODUCER (FY26 current-era central; Aurora is ADDITIVE to the public roster - tracked producers are not shrunk to fit)</t>
        </is>
      </c>
      <c r="B61" s="4" t="n"/>
      <c r="C61" s="4" t="n"/>
      <c r="D61" s="4" t="n"/>
      <c r="E61" s="4" t="n"/>
      <c r="F61" s="4" t="n"/>
      <c r="G61" s="4" t="n"/>
      <c r="H61" s="4" t="n"/>
      <c r="I61" s="4" t="n"/>
    </row>
    <row r="62">
      <c r="B62" s="5" t="inlineStr">
        <is>
          <t>Producer</t>
        </is>
      </c>
      <c r="C62" s="35" t="inlineStr">
        <is>
          <t>% natl volume</t>
        </is>
      </c>
      <c r="D62" s="35" t="inlineStr">
        <is>
          <t>Hens (M, share-implied)</t>
        </is>
      </c>
      <c r="E62" s="35" t="inlineStr">
        <is>
          <t>Volume (M doz)</t>
        </is>
      </c>
      <c r="F62" s="35" t="inlineStr">
        <is>
          <t>Est. FY24 revenue (NZ$M)</t>
        </is>
      </c>
      <c r="G62" s="35" t="inlineStr">
        <is>
          <t>Cage-free % of flock</t>
        </is>
      </c>
      <c r="I62" s="3" t="inlineStr">
        <is>
          <t>Shares: Calthorpe Part 2 central (8 May 2026). Revenue: Hartley Pearce Exhibit 1 (28 Mar 2026); Aurora = IM FY24A. Cage-free %: Calthorpe Part 2 [00:32:10].</t>
        </is>
      </c>
    </row>
    <row r="63">
      <c r="B63" s="14" t="inlineStr">
        <is>
          <t>Mainland Poultry (PEP)</t>
        </is>
      </c>
      <c r="C63" s="33">
        <f>'Assumptions'!$D$58</f>
        <v/>
      </c>
      <c r="D63" s="26">
        <f>'Assumptions'!$D$58*'Assumptions'!$D$49</f>
        <v/>
      </c>
      <c r="E63" s="29">
        <f>'Assumptions'!$D$58*('Assumptions'!$D$49*'Assumptions'!$D$50*'Assumptions'!$D$51/'Assumptions'!$D$41)</f>
        <v/>
      </c>
      <c r="F63" s="29">
        <f>'Assumptions'!$D$65</f>
        <v/>
      </c>
      <c r="G63" s="33">
        <f>'Assumptions'!$D$71</f>
        <v/>
      </c>
    </row>
    <row r="64">
      <c r="B64" s="5" t="inlineStr">
        <is>
          <t>AURORA EGGS (additive; privately held)</t>
        </is>
      </c>
      <c r="C64" s="33">
        <f>'Assumptions'!$D$59</f>
        <v/>
      </c>
      <c r="D64" s="26">
        <f>'Assumptions'!$D$59*'Assumptions'!$D$49</f>
        <v/>
      </c>
      <c r="E64" s="29">
        <f>'Assumptions'!$D$59*('Assumptions'!$D$49*'Assumptions'!$D$50*'Assumptions'!$D$51/'Assumptions'!$D$41)</f>
        <v/>
      </c>
      <c r="F64" s="29">
        <f>'Assumptions'!$D$126</f>
        <v/>
      </c>
      <c r="G64" s="33">
        <f>'Assumptions'!$D$76</f>
        <v/>
      </c>
    </row>
    <row r="65">
      <c r="B65" s="14" t="inlineStr">
        <is>
          <t>Heyden Farms</t>
        </is>
      </c>
      <c r="C65" s="33">
        <f>'Assumptions'!$D$60</f>
        <v/>
      </c>
      <c r="D65" s="26">
        <f>'Assumptions'!$D$60*'Assumptions'!$D$49</f>
        <v/>
      </c>
      <c r="E65" s="29">
        <f>'Assumptions'!$D$60*('Assumptions'!$D$49*'Assumptions'!$D$50*'Assumptions'!$D$51/'Assumptions'!$D$41)</f>
        <v/>
      </c>
      <c r="F65" s="29">
        <f>'Assumptions'!$D$66</f>
        <v/>
      </c>
      <c r="G65" s="33">
        <f>'Assumptions'!$D$72</f>
        <v/>
      </c>
    </row>
    <row r="66">
      <c r="B66" s="14" t="inlineStr">
        <is>
          <t>Better Eggs</t>
        </is>
      </c>
      <c r="C66" s="33">
        <f>'Assumptions'!$D$61</f>
        <v/>
      </c>
      <c r="D66" s="26">
        <f>'Assumptions'!$D$61*'Assumptions'!$D$49</f>
        <v/>
      </c>
      <c r="E66" s="29">
        <f>'Assumptions'!$D$61*('Assumptions'!$D$49*'Assumptions'!$D$50*'Assumptions'!$D$51/'Assumptions'!$D$41)</f>
        <v/>
      </c>
      <c r="F66" s="29">
        <f>'Assumptions'!$D$67</f>
        <v/>
      </c>
      <c r="G66" s="33">
        <f>'Assumptions'!$D$73</f>
        <v/>
      </c>
    </row>
    <row r="67">
      <c r="B67" s="14" t="inlineStr">
        <is>
          <t>Zeagold Foods (Mainland/PEP eggs division)</t>
        </is>
      </c>
      <c r="C67" s="33">
        <f>'Assumptions'!$D$62</f>
        <v/>
      </c>
      <c r="D67" s="26">
        <f>'Assumptions'!$D$62*'Assumptions'!$D$49</f>
        <v/>
      </c>
      <c r="E67" s="29">
        <f>'Assumptions'!$D$62*('Assumptions'!$D$49*'Assumptions'!$D$50*'Assumptions'!$D$51/'Assumptions'!$D$41)</f>
        <v/>
      </c>
      <c r="F67" s="29">
        <f>'Assumptions'!$D$68</f>
        <v/>
      </c>
      <c r="G67" s="33">
        <f>'Assumptions'!$D$74</f>
        <v/>
      </c>
    </row>
    <row r="68">
      <c r="B68" s="14" t="inlineStr">
        <is>
          <t>Henergy Cage Free</t>
        </is>
      </c>
      <c r="C68" s="33">
        <f>'Assumptions'!$D$63</f>
        <v/>
      </c>
      <c r="D68" s="26">
        <f>'Assumptions'!$D$63*'Assumptions'!$D$49</f>
        <v/>
      </c>
      <c r="E68" s="29">
        <f>'Assumptions'!$D$63*('Assumptions'!$D$49*'Assumptions'!$D$50*'Assumptions'!$D$51/'Assumptions'!$D$41)</f>
        <v/>
      </c>
      <c r="F68" s="29">
        <f>'Assumptions'!$D$69</f>
        <v/>
      </c>
      <c r="G68" s="33">
        <f>'Assumptions'!$D$75</f>
        <v/>
      </c>
    </row>
    <row r="69">
      <c r="B69" s="14" t="inlineStr">
        <is>
          <t>Long tail / specialty (&gt;30 operators)</t>
        </is>
      </c>
      <c r="C69" s="33">
        <f>'Assumptions'!$D$64</f>
        <v/>
      </c>
      <c r="D69" s="26">
        <f>'Assumptions'!$D$64*'Assumptions'!$D$49</f>
        <v/>
      </c>
      <c r="E69" s="29">
        <f>'Assumptions'!$D$64*('Assumptions'!$D$49*'Assumptions'!$D$50*'Assumptions'!$D$51/'Assumptions'!$D$41)</f>
        <v/>
      </c>
      <c r="F69" s="27">
        <f>'Assumptions'!$D$70</f>
        <v/>
      </c>
      <c r="I69" s="3" t="inlineStr">
        <is>
          <t>HP est. NZ$280-330M - premium/direct-skewed pricing in the specialty cohort; mid carried.</t>
        </is>
      </c>
    </row>
    <row r="70">
      <c r="B70" s="5" t="inlineStr">
        <is>
          <t>Total - national</t>
        </is>
      </c>
      <c r="C70" s="37">
        <f>SUM(C63:C69)</f>
        <v/>
      </c>
      <c r="D70" s="28">
        <f>SUM(D63:D69)</f>
        <v/>
      </c>
      <c r="E70" s="30">
        <f>SUM(E63:E69)</f>
        <v/>
      </c>
      <c r="I70" s="3" t="inlineStr">
        <is>
          <t>Sums to 100% / 3.75M hens / ~84.4M doz - roster is MECE with Aurora layered on top of the tracked five.</t>
        </is>
      </c>
    </row>
    <row r="71">
      <c r="B71" s="14" t="inlineStr">
        <is>
          <t>Top-3 combined share (Mainland + Aurora + Heyden)</t>
        </is>
      </c>
      <c r="C71" s="33">
        <f>'Assumptions'!$D$58+'Assumptions'!$D$59+'Assumptions'!$D$60</f>
        <v/>
      </c>
      <c r="I71" s="3" t="inlineStr">
        <is>
          <t>Antipodean "top 3-4 ~50-55%" refers to the PUBLIC roster (excl. Aurora): Mainland+Heyden+Better+Zeagold = 56% - consistent once Aurora is added on top.</t>
        </is>
      </c>
    </row>
    <row r="72">
      <c r="B72" s="14" t="inlineStr">
        <is>
          <t>HHI - named six producers (long tail excluded)</t>
        </is>
      </c>
      <c r="C72" s="27">
        <f>('Assumptions'!$D$58^2+'Assumptions'!$D$59^2+'Assumptions'!$D$60^2+'Assumptions'!$D$61^2+'Assumptions'!$D$62^2+'Assumptions'!$D$63^2)*10000</f>
        <v/>
      </c>
      <c r="I72" s="3" t="inlineStr">
        <is>
          <t>~1,390 points - moderately concentrated; Phase 2 capital pressure concentrates it further (6-10 long-tail exits expected by FY28).</t>
        </is>
      </c>
    </row>
    <row r="73"/>
    <row r="74">
      <c r="A74" s="4" t="inlineStr">
        <is>
          <t>5.  AURORA EGGS - REPORTED HISTORICALS &amp; SHARE TRIANGULATION  (management accounts via IM draft; unaudited)</t>
        </is>
      </c>
      <c r="B74" s="4" t="n"/>
      <c r="C74" s="4" t="n"/>
      <c r="D74" s="4" t="n"/>
      <c r="E74" s="4" t="n"/>
      <c r="F74" s="4" t="n"/>
      <c r="G74" s="4" t="n"/>
      <c r="H74" s="4" t="n"/>
      <c r="I74" s="4" t="n"/>
    </row>
    <row r="75">
      <c r="B75" s="5" t="inlineStr">
        <is>
          <t>Line</t>
        </is>
      </c>
      <c r="C75" s="5" t="inlineStr">
        <is>
          <t>Unit</t>
        </is>
      </c>
      <c r="D75" s="12" t="inlineStr">
        <is>
          <t>FY2022A</t>
        </is>
      </c>
      <c r="E75" s="12" t="inlineStr">
        <is>
          <t>FY2023A</t>
        </is>
      </c>
      <c r="F75" s="12" t="inlineStr">
        <is>
          <t>FY2024A</t>
        </is>
      </c>
      <c r="I75" s="3" t="inlineStr">
        <is>
          <t>Source / notes</t>
        </is>
      </c>
    </row>
    <row r="76">
      <c r="B76" s="14" t="inlineStr">
        <is>
          <t>Revenue</t>
        </is>
      </c>
      <c r="C76" s="14" t="inlineStr">
        <is>
          <t>NZ$M</t>
        </is>
      </c>
      <c r="D76" s="29">
        <f>'Assumptions'!$D$124</f>
        <v/>
      </c>
      <c r="E76" s="29">
        <f>'Assumptions'!$D$125</f>
        <v/>
      </c>
      <c r="F76" s="29">
        <f>'Assumptions'!$D$126</f>
        <v/>
      </c>
      <c r="I76" s="3" t="inlineStr">
        <is>
          <t>IM s.2</t>
        </is>
      </c>
    </row>
    <row r="77">
      <c r="B77" s="14" t="inlineStr">
        <is>
          <t>NZD/USD (FY-aligned)</t>
        </is>
      </c>
      <c r="C77" s="14" t="inlineStr">
        <is>
          <t>USD/NZD</t>
        </is>
      </c>
      <c r="D77" s="32">
        <f>'Assumptions'!$D$15</f>
        <v/>
      </c>
      <c r="E77" s="32">
        <f>'Assumptions'!$D$16</f>
        <v/>
      </c>
      <c r="F77" s="32">
        <f>'Assumptions'!$D$17</f>
        <v/>
      </c>
    </row>
    <row r="78">
      <c r="B78" s="14" t="inlineStr">
        <is>
          <t>Revenue</t>
        </is>
      </c>
      <c r="C78" s="14" t="inlineStr">
        <is>
          <t>US$M</t>
        </is>
      </c>
      <c r="D78" s="30">
        <f>D76*D77</f>
        <v/>
      </c>
      <c r="E78" s="30">
        <f>E76*E77</f>
        <v/>
      </c>
      <c r="F78" s="30">
        <f>F76*F77</f>
        <v/>
      </c>
      <c r="I78" s="3" t="inlineStr">
        <is>
          <t>USD headline</t>
        </is>
      </c>
    </row>
    <row r="79">
      <c r="B79" s="14" t="inlineStr">
        <is>
          <t>EBITDA (reported)</t>
        </is>
      </c>
      <c r="C79" s="14" t="inlineStr">
        <is>
          <t>NZ$M</t>
        </is>
      </c>
      <c r="D79" s="29">
        <f>'Assumptions'!$D$127</f>
        <v/>
      </c>
      <c r="E79" s="29">
        <f>'Assumptions'!$D$128</f>
        <v/>
      </c>
      <c r="F79" s="29">
        <f>'Assumptions'!$D$129</f>
        <v/>
      </c>
    </row>
    <row r="80">
      <c r="B80" s="14" t="inlineStr">
        <is>
          <t>EBITDA (reported)</t>
        </is>
      </c>
      <c r="C80" s="14" t="inlineStr">
        <is>
          <t>US$M</t>
        </is>
      </c>
      <c r="D80" s="30">
        <f>D79*D77</f>
        <v/>
      </c>
      <c r="E80" s="30">
        <f>E79*E77</f>
        <v/>
      </c>
      <c r="F80" s="30">
        <f>F79*F77</f>
        <v/>
      </c>
    </row>
    <row r="81">
      <c r="B81" s="14" t="inlineStr">
        <is>
          <t>EBITDA margin</t>
        </is>
      </c>
      <c r="C81" s="14" t="inlineStr">
        <is>
          <t>%</t>
        </is>
      </c>
      <c r="D81" s="31">
        <f>D79/D76</f>
        <v/>
      </c>
      <c r="E81" s="31">
        <f>E79/E76</f>
        <v/>
      </c>
      <c r="F81" s="31">
        <f>F79/F76</f>
        <v/>
      </c>
      <c r="I81" s="3" t="inlineStr">
        <is>
          <t>12.8% FY24 = high side of industry 8-15% (cluster 10-12%, Pacific Agri)</t>
        </is>
      </c>
    </row>
    <row r="82">
      <c r="B82" s="14" t="inlineStr">
        <is>
          <t>Volume</t>
        </is>
      </c>
      <c r="C82" s="14" t="inlineStr">
        <is>
          <t>M dozen</t>
        </is>
      </c>
      <c r="D82" s="29">
        <f>'Assumptions'!$D$131</f>
        <v/>
      </c>
      <c r="E82" s="29">
        <f>'Assumptions'!$D$132</f>
        <v/>
      </c>
      <c r="F82" s="29">
        <f>'Assumptions'!$D$133</f>
        <v/>
      </c>
    </row>
    <row r="83">
      <c r="B83" s="14" t="inlineStr">
        <is>
          <t>Realised price</t>
        </is>
      </c>
      <c r="C83" s="14" t="inlineStr">
        <is>
          <t>NZ$/dozen</t>
        </is>
      </c>
      <c r="D83" s="38">
        <f>D76/D82</f>
        <v/>
      </c>
      <c r="E83" s="38">
        <f>E76/E82</f>
        <v/>
      </c>
      <c r="F83" s="38">
        <f>F76/F82</f>
        <v/>
      </c>
      <c r="I83" s="3" t="inlineStr">
        <is>
          <t>FY24 NZ$6.46/doz ~= the NZ$6.40 market blended gate - corroborates the bottom-up calibration</t>
        </is>
      </c>
    </row>
    <row r="84">
      <c r="B84" s="14" t="inlineStr">
        <is>
          <t>FY24 "Adjusted" EBITDA (sell-side basis)</t>
        </is>
      </c>
      <c r="C84" s="14" t="inlineStr">
        <is>
          <t>NZ$M</t>
        </is>
      </c>
      <c r="F84" s="29">
        <f>'Assumptions'!$D$130</f>
        <v/>
      </c>
      <c r="I84" s="10" t="inlineStr">
        <is>
          <t>NZ$12.6M / 14.9% - unaudited addbacks; &gt;13% margins must be examined (Pacific Agri). Model carries reported NZ$10.8M; bridge = confirmatory request.</t>
        </is>
      </c>
    </row>
    <row r="85"/>
    <row r="86">
      <c r="B86" s="5" t="inlineStr">
        <is>
          <t>Share triangulation (Aurora is invisible in public coverage - recovered by triangulating):</t>
        </is>
      </c>
    </row>
    <row r="87">
      <c r="B87" s="14" t="inlineStr">
        <is>
          <t>Flock-implied share (610k / 3.75M national)</t>
        </is>
      </c>
      <c r="D87" s="36">
        <f>'Assumptions'!$D$120/1000000/'Assumptions'!$D$49</f>
        <v/>
      </c>
      <c r="I87" s="3" t="inlineStr">
        <is>
          <t>Lower bound of the triangle.</t>
        </is>
      </c>
    </row>
    <row r="88">
      <c r="B88" s="14" t="inlineStr">
        <is>
          <t>Volume-implied share (13.1M doz / FY24 production)</t>
        </is>
      </c>
      <c r="D88" s="36">
        <f>'Assumptions'!$D$133/'Historical_Sizing'!$E$31</f>
        <v/>
      </c>
      <c r="I88" s="3" t="inlineStr"/>
    </row>
    <row r="89">
      <c r="B89" s="14" t="inlineStr">
        <is>
          <t>Insider producer-by-producer estimate (Calthorpe)</t>
        </is>
      </c>
      <c r="D89" s="33">
        <f>'Assumptions'!$D$59</f>
        <v/>
      </c>
      <c r="I89" s="3" t="inlineStr">
        <is>
          <t>Part 1 range 17-19% -&gt; Part 2 central 18%.</t>
        </is>
      </c>
    </row>
    <row r="90">
      <c r="B90" s="5" t="inlineStr">
        <is>
          <t>WORKING ANCHOR - Aurora volume share</t>
        </is>
      </c>
      <c r="D90" s="25">
        <f>'Assumptions'!$D$59</f>
        <v/>
      </c>
      <c r="I90" s="10" t="inlineStr">
        <is>
          <t>Triangulation spread 16-18% is surfaced, not averaged: working anchor 18% per deal-team lock (Slack 8 May). Audited volumes in confirmatory resolve it.</t>
        </is>
      </c>
    </row>
    <row r="91">
      <c r="B91" s="14" t="inlineStr">
        <is>
          <t>Aurora realisation factor vs market blend (FY24)</t>
        </is>
      </c>
      <c r="D91" s="26">
        <f>'Assumptions'!$D$126/('Historical_Sizing'!$E$33*'Assumptions'!$D$59)</f>
        <v/>
      </c>
      <c r="I91" s="3" t="inlineStr">
        <is>
          <t>Aurora FY24 revenue / (bottom-up FY24 x 18% share) = ~0.88 - carries the share-vs-volume spread + Aurora 50/50 brand/PL mix into the forecast; refresh on audited volumes.</t>
        </is>
      </c>
    </row>
  </sheetData>
  <mergeCells count="4">
    <mergeCell ref="B57:H57"/>
    <mergeCell ref="A2:I2"/>
    <mergeCell ref="B58:H58"/>
    <mergeCell ref="B56:H5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/>
  </sheetPr>
  <dimension ref="A1:I1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" customWidth="1" min="1" max="1"/>
    <col width="52" customWidth="1" min="2" max="2"/>
    <col width="14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78" customWidth="1" min="9" max="9"/>
  </cols>
  <sheetData>
    <row r="1">
      <c r="A1" s="1" t="inlineStr">
        <is>
          <t>NZ SHELL-EGG MARKET - FIVE-YEAR FORECAST (FY2026 - FY2030)</t>
        </is>
      </c>
    </row>
    <row r="2" ht="30" customHeight="1">
      <c r="A2" s="3" t="inlineStr">
        <is>
          <t>Demand = population x per-capita with dietary-mix drift (standards s.2.2 - flat per-capita not permitted as central). Market revenue priced bottom-up (production lens) under three named transition scenarios with the price response modelled (s.3.1). USD headline / NZD side-by-side; FX by year from the house forecast. All inputs live on Assumptions (green = cross-tab). No recommendation - scenario surface for IC.</t>
        </is>
      </c>
    </row>
    <row r="3"/>
    <row r="4">
      <c r="A4" s="4" t="inlineStr">
        <is>
          <t>HEADLINE OUTPUTS (central case = S1 Managed Conversion)</t>
        </is>
      </c>
      <c r="B4" s="4" t="n"/>
      <c r="C4" s="4" t="n"/>
      <c r="D4" s="4" t="n"/>
      <c r="E4" s="4" t="n"/>
      <c r="F4" s="4" t="n"/>
      <c r="G4" s="4" t="n"/>
      <c r="H4" s="4" t="n"/>
      <c r="I4" s="4" t="n"/>
    </row>
    <row r="5">
      <c r="B5" s="39" t="inlineStr">
        <is>
          <t>Market revenue FY2030 - central (S1)</t>
        </is>
      </c>
      <c r="E5" s="22">
        <f>'Forecast_FY26_30'!$H$43</f>
        <v/>
      </c>
      <c r="F5" s="23">
        <f>'Forecast_FY26_30'!$H$40</f>
        <v/>
      </c>
    </row>
    <row r="6">
      <c r="B6" s="39" t="inlineStr">
        <is>
          <t>Market revenue FY2030 - scenario span (S3 low / S2 high)</t>
        </is>
      </c>
      <c r="E6" s="22">
        <f>'Forecast_FY26_30'!$H$81</f>
        <v/>
      </c>
      <c r="F6" s="22">
        <f>'Forecast_FY26_30'!$H$62</f>
        <v/>
      </c>
    </row>
    <row r="7">
      <c r="B7" s="39" t="inlineStr">
        <is>
          <t>Category volume CAGR FY25-FY30 (consumption)</t>
        </is>
      </c>
      <c r="E7" s="40">
        <f>('Forecast_FY26_30'!$H$17/('Assumptions'!$D$29*(1+'Assumptions'!$D$30)*'Assumptions'!$D$33*1000/'Assumptions'!$D$41/1000))^(1/5)-1</f>
        <v/>
      </c>
    </row>
    <row r="8">
      <c r="B8" s="39" t="inlineStr">
        <is>
          <t>Market revenue CAGR FY26-FY30 - central (NZD / USD)</t>
        </is>
      </c>
      <c r="E8" s="34">
        <f>('Forecast_FY26_30'!$H$40/'Forecast_FY26_30'!$D$40)^0.25-1</f>
        <v/>
      </c>
      <c r="F8" s="34">
        <f>('Forecast_FY26_30'!$H$43/'Forecast_FY26_30'!$D$43)^0.25-1</f>
        <v/>
      </c>
    </row>
    <row r="9">
      <c r="B9" s="39" t="inlineStr">
        <is>
          <t>Aurora FY2030 EBITDA - central (S1, pre-transition-slippage)</t>
        </is>
      </c>
      <c r="E9" s="22">
        <f>'Forecast_FY26_30'!$H$89*'Assumptions'!$D$23</f>
        <v/>
      </c>
      <c r="F9" s="23">
        <f>'Forecast_FY26_30'!$H$89</f>
        <v/>
      </c>
    </row>
    <row r="10">
      <c r="B10" s="3" t="inlineStr">
        <is>
          <t>FR premium path (central): 18% FY26 -&gt; 14% FY27 -&gt; 12% FY28 (vs 30%+ broker claim - contested). Slippage and cost-side EBITDA stresses: Transition tab.</t>
        </is>
      </c>
    </row>
    <row r="11"/>
    <row r="12">
      <c r="A12" s="4" t="inlineStr">
        <is>
          <t>1.  DEMAND DRIVERS - CENTRAL  (population x ACII per-capita path; drift = dietary-mix shift + demographic-cuisine compounding)</t>
        </is>
      </c>
      <c r="B12" s="4" t="n"/>
      <c r="C12" s="4" t="n"/>
      <c r="D12" s="4" t="n"/>
      <c r="E12" s="4" t="n"/>
      <c r="F12" s="4" t="n"/>
      <c r="G12" s="4" t="n"/>
      <c r="H12" s="4" t="n"/>
      <c r="I12" s="4" t="n"/>
    </row>
    <row r="13">
      <c r="B13" s="5" t="inlineStr">
        <is>
          <t>Line</t>
        </is>
      </c>
      <c r="C13" s="5" t="inlineStr">
        <is>
          <t>Unit</t>
        </is>
      </c>
      <c r="D13" s="12" t="inlineStr">
        <is>
          <t>FY2026</t>
        </is>
      </c>
      <c r="E13" s="12" t="inlineStr">
        <is>
          <t>FY2027</t>
        </is>
      </c>
      <c r="F13" s="12" t="inlineStr">
        <is>
          <t>FY2028</t>
        </is>
      </c>
      <c r="G13" s="12" t="inlineStr">
        <is>
          <t>FY2029</t>
        </is>
      </c>
      <c r="H13" s="12" t="inlineStr">
        <is>
          <t>FY2030</t>
        </is>
      </c>
      <c r="I13" s="3" t="inlineStr">
        <is>
          <t>Source / notes</t>
        </is>
      </c>
    </row>
    <row r="14">
      <c r="B14" s="14" t="inlineStr">
        <is>
          <t>NZ population</t>
        </is>
      </c>
      <c r="C14" s="14" t="inlineStr">
        <is>
          <t>M people</t>
        </is>
      </c>
      <c r="D14" s="26">
        <f>'Assumptions'!$D$29*(1+'Assumptions'!$D$30)^2</f>
        <v/>
      </c>
      <c r="E14" s="26">
        <f>'Assumptions'!$D$29*(1+'Assumptions'!$D$30)^3</f>
        <v/>
      </c>
      <c r="F14" s="26">
        <f>'Assumptions'!$D$29*(1+'Assumptions'!$D$30)^4</f>
        <v/>
      </c>
      <c r="G14" s="26">
        <f>'Assumptions'!$D$29*(1+'Assumptions'!$D$30)^5</f>
        <v/>
      </c>
      <c r="H14" s="26">
        <f>'Assumptions'!$D$29*(1+'Assumptions'!$D$30)^6</f>
        <v/>
      </c>
      <c r="I14" s="3" t="inlineStr">
        <is>
          <t>Treasury baseline, +0.9% pa</t>
        </is>
      </c>
    </row>
    <row r="15">
      <c r="B15" s="14" t="inlineStr">
        <is>
          <t>Per-capita consumption - ACII central</t>
        </is>
      </c>
      <c r="C15" s="14" t="inlineStr">
        <is>
          <t>eggs/person/yr</t>
        </is>
      </c>
      <c r="D15" s="27">
        <f>'Assumptions'!$D$34</f>
        <v/>
      </c>
      <c r="E15" s="27">
        <f>'Assumptions'!$E$34</f>
        <v/>
      </c>
      <c r="F15" s="27">
        <f>'Assumptions'!$F$34</f>
        <v/>
      </c>
      <c r="G15" s="27">
        <f>'Assumptions'!$G$34</f>
        <v/>
      </c>
      <c r="H15" s="27">
        <f>'Assumptions'!$H$34</f>
        <v/>
      </c>
      <c r="I15" s="3" t="inlineStr">
        <is>
          <t>ACII Wave 11 Table 3 projection (230-&gt;235); supersedes EPF-flat 229 as central per standards s.2.2</t>
        </is>
      </c>
    </row>
    <row r="16">
      <c r="B16" s="14" t="inlineStr">
        <is>
          <t>National consumption</t>
        </is>
      </c>
      <c r="C16" s="14" t="inlineStr">
        <is>
          <t>B eggs</t>
        </is>
      </c>
      <c r="D16" s="28">
        <f>D14*D15/1000</f>
        <v/>
      </c>
      <c r="E16" s="28">
        <f>E14*E15/1000</f>
        <v/>
      </c>
      <c r="F16" s="28">
        <f>F14*F15/1000</f>
        <v/>
      </c>
      <c r="G16" s="28">
        <f>G14*G15/1000</f>
        <v/>
      </c>
      <c r="H16" s="28">
        <f>H14*H15/1000</f>
        <v/>
      </c>
      <c r="I16" s="3" t="inlineStr"/>
    </row>
    <row r="17">
      <c r="B17" s="14" t="inlineStr">
        <is>
          <t>National consumption</t>
        </is>
      </c>
      <c r="C17" s="14" t="inlineStr">
        <is>
          <t>M dozen</t>
        </is>
      </c>
      <c r="D17" s="29">
        <f>D16*1000/'Assumptions'!$D$41</f>
        <v/>
      </c>
      <c r="E17" s="29">
        <f>E16*1000/'Assumptions'!$D$41</f>
        <v/>
      </c>
      <c r="F17" s="29">
        <f>F16*1000/'Assumptions'!$D$41</f>
        <v/>
      </c>
      <c r="G17" s="29">
        <f>G16*1000/'Assumptions'!$D$41</f>
        <v/>
      </c>
      <c r="H17" s="29">
        <f>H16*1000/'Assumptions'!$D$41</f>
        <v/>
      </c>
      <c r="I17" s="3" t="inlineStr"/>
    </row>
    <row r="18">
      <c r="B18" s="14" t="inlineStr">
        <is>
          <t xml:space="preserve">  consumption growth YoY</t>
        </is>
      </c>
      <c r="C18" s="14" t="inlineStr">
        <is>
          <t>%</t>
        </is>
      </c>
      <c r="D18" s="36">
        <f>D17/('Assumptions'!$D$29*(1+'Assumptions'!$D$30)*'Assumptions'!$D$33*1000/'Assumptions'!$D$41/1000)-1</f>
        <v/>
      </c>
      <c r="E18" s="31">
        <f>E17/D17-1</f>
        <v/>
      </c>
      <c r="F18" s="31">
        <f>F17/E17-1</f>
        <v/>
      </c>
      <c r="G18" s="31">
        <f>G17/F17-1</f>
        <v/>
      </c>
      <c r="H18" s="31">
        <f>H17/G17-1</f>
        <v/>
      </c>
      <c r="I18" s="3" t="inlineStr">
        <is>
          <t>~+1.3-1.5% pa = population +0.9% + per-capita drift +0.4-0.5% (Vivian / Theo Slack 5 May; ACII)</t>
        </is>
      </c>
    </row>
    <row r="19"/>
    <row r="20">
      <c r="A20" s="4" t="inlineStr">
        <is>
          <t>2.  PRODUCTION VOLUME - CENTRAL  (bottom-up basis; supply tracks demand in the central case)</t>
        </is>
      </c>
      <c r="B20" s="4" t="n"/>
      <c r="C20" s="4" t="n"/>
      <c r="D20" s="4" t="n"/>
      <c r="E20" s="4" t="n"/>
      <c r="F20" s="4" t="n"/>
      <c r="G20" s="4" t="n"/>
      <c r="H20" s="4" t="n"/>
      <c r="I20" s="4" t="n"/>
    </row>
    <row r="21">
      <c r="B21" s="5" t="inlineStr">
        <is>
          <t>Line</t>
        </is>
      </c>
      <c r="C21" s="5" t="inlineStr">
        <is>
          <t>Unit</t>
        </is>
      </c>
      <c r="D21" s="12" t="inlineStr">
        <is>
          <t>FY2026</t>
        </is>
      </c>
      <c r="E21" s="12" t="inlineStr">
        <is>
          <t>FY2027</t>
        </is>
      </c>
      <c r="F21" s="12" t="inlineStr">
        <is>
          <t>FY2028</t>
        </is>
      </c>
      <c r="G21" s="12" t="inlineStr">
        <is>
          <t>FY2029</t>
        </is>
      </c>
      <c r="H21" s="12" t="inlineStr">
        <is>
          <t>FY2030</t>
        </is>
      </c>
      <c r="I21" s="3" t="inlineStr">
        <is>
          <t>Source / notes</t>
        </is>
      </c>
    </row>
    <row r="22">
      <c r="B22" s="14" t="inlineStr">
        <is>
          <t>National production</t>
        </is>
      </c>
      <c r="C22" s="14" t="inlineStr">
        <is>
          <t>M dozen</t>
        </is>
      </c>
      <c r="D22" s="29">
        <f>'Assumptions'!$D$49*'Assumptions'!$D$50*'Assumptions'!$D$51/'Assumptions'!$D$41</f>
        <v/>
      </c>
      <c r="E22" s="30">
        <f>D22*(1+E18)</f>
        <v/>
      </c>
      <c r="F22" s="30">
        <f>E22*(1+F18)</f>
        <v/>
      </c>
      <c r="G22" s="30">
        <f>F22*(1+G18)</f>
        <v/>
      </c>
      <c r="H22" s="30">
        <f>G22*(1+H18)</f>
        <v/>
      </c>
      <c r="I22" s="3" t="inlineStr">
        <is>
          <t>FY26 = 3.75M hens x 300 eggs x 90% /12 = ~84.4M doz; grown at consumption growth (Phase 2 adds birds at lower stocking density - Part 2 [00:26:48]).</t>
        </is>
      </c>
    </row>
    <row r="23"/>
    <row r="24">
      <c r="A24" s="4" t="inlineStr">
        <is>
          <t>3.  THREE NAMED TRANSITION SCENARIOS - PRICED  (driver + consequence + breakeven per standards s.3.1; parameters in Assumptions s.H; breakevens on Transition tab)</t>
        </is>
      </c>
      <c r="B24" s="4" t="n"/>
      <c r="C24" s="4" t="n"/>
      <c r="D24" s="4" t="n"/>
      <c r="E24" s="4" t="n"/>
      <c r="F24" s="4" t="n"/>
      <c r="G24" s="4" t="n"/>
      <c r="H24" s="4" t="n"/>
      <c r="I24" s="4" t="n"/>
    </row>
    <row r="25">
      <c r="B25" s="41" t="inlineStr">
        <is>
          <t>S1  MANAGED CONVERSION  (central)</t>
        </is>
      </c>
      <c r="C25" s="41" t="n"/>
      <c r="D25" s="41" t="n"/>
      <c r="E25" s="41" t="n"/>
      <c r="F25" s="41" t="n"/>
      <c r="G25" s="41" t="n"/>
      <c r="H25" s="41" t="n"/>
      <c r="I25" s="41" t="n"/>
    </row>
    <row r="26" ht="30" customHeight="1">
      <c r="B26" s="3" t="inlineStr">
        <is>
          <t>DRIVER: consents + DOC + equipment land on schedule; ~95% of colony cohort converted by 31 Dec 2027; long-tail exits redistribute share. CONSEQUENCE: mix shifts colony-&gt;barn/FR; FR premium compresses 18-&gt;14-&gt;12; category value grows on mix uplift.</t>
        </is>
      </c>
    </row>
    <row r="27">
      <c r="B27" s="5" t="inlineStr">
        <is>
          <t>Line</t>
        </is>
      </c>
      <c r="C27" s="5" t="inlineStr">
        <is>
          <t>Unit</t>
        </is>
      </c>
      <c r="D27" s="12" t="inlineStr">
        <is>
          <t>FY2026</t>
        </is>
      </c>
      <c r="E27" s="12" t="inlineStr">
        <is>
          <t>FY2027</t>
        </is>
      </c>
      <c r="F27" s="12" t="inlineStr">
        <is>
          <t>FY2028</t>
        </is>
      </c>
      <c r="G27" s="12" t="inlineStr">
        <is>
          <t>FY2029</t>
        </is>
      </c>
      <c r="H27" s="12" t="inlineStr">
        <is>
          <t>FY2030</t>
        </is>
      </c>
      <c r="I27" s="3" t="inlineStr">
        <is>
          <t>Source / notes</t>
        </is>
      </c>
    </row>
    <row r="28">
      <c r="B28" s="14" t="inlineStr">
        <is>
          <t>System mix - colony</t>
        </is>
      </c>
      <c r="C28" s="14" t="inlineStr">
        <is>
          <t>% flock</t>
        </is>
      </c>
      <c r="D28" s="33">
        <f>'Assumptions'!$D$174</f>
        <v/>
      </c>
      <c r="E28" s="33">
        <f>'Assumptions'!$E$174</f>
        <v/>
      </c>
      <c r="F28" s="33">
        <f>'Assumptions'!$F$174</f>
        <v/>
      </c>
      <c r="G28" s="33">
        <f>'Assumptions'!$G$174</f>
        <v/>
      </c>
      <c r="H28" s="33">
        <f>'Assumptions'!$H$174</f>
        <v/>
      </c>
      <c r="I28" s="3" t="inlineStr">
        <is>
          <t>Assumptions s.H</t>
        </is>
      </c>
    </row>
    <row r="29">
      <c r="B29" s="14" t="inlineStr">
        <is>
          <t>System mix - barn</t>
        </is>
      </c>
      <c r="C29" s="14" t="inlineStr">
        <is>
          <t>% flock</t>
        </is>
      </c>
      <c r="D29" s="33">
        <f>'Assumptions'!$D$175</f>
        <v/>
      </c>
      <c r="E29" s="33">
        <f>'Assumptions'!$E$175</f>
        <v/>
      </c>
      <c r="F29" s="33">
        <f>'Assumptions'!$F$175</f>
        <v/>
      </c>
      <c r="G29" s="33">
        <f>'Assumptions'!$G$175</f>
        <v/>
      </c>
      <c r="H29" s="33">
        <f>'Assumptions'!$H$175</f>
        <v/>
      </c>
      <c r="I29" s="3" t="inlineStr"/>
    </row>
    <row r="30">
      <c r="B30" s="14" t="inlineStr">
        <is>
          <t>System mix - free-range</t>
        </is>
      </c>
      <c r="C30" s="14" t="inlineStr">
        <is>
          <t>% flock</t>
        </is>
      </c>
      <c r="D30" s="33">
        <f>'Assumptions'!$D$176</f>
        <v/>
      </c>
      <c r="E30" s="33">
        <f>'Assumptions'!$E$176</f>
        <v/>
      </c>
      <c r="F30" s="33">
        <f>'Assumptions'!$F$176</f>
        <v/>
      </c>
      <c r="G30" s="33">
        <f>'Assumptions'!$G$176</f>
        <v/>
      </c>
      <c r="H30" s="33">
        <f>'Assumptions'!$H$176</f>
        <v/>
      </c>
      <c r="I30" s="3" t="inlineStr"/>
    </row>
    <row r="31">
      <c r="B31" s="14" t="inlineStr">
        <is>
          <t xml:space="preserve">  mix check (must = 100%)</t>
        </is>
      </c>
      <c r="C31" s="14" t="inlineStr">
        <is>
          <t>%</t>
        </is>
      </c>
      <c r="D31" s="37">
        <f>D28+D29+D30</f>
        <v/>
      </c>
      <c r="E31" s="37">
        <f>E28+E29+E30</f>
        <v/>
      </c>
      <c r="F31" s="37">
        <f>F28+F29+F30</f>
        <v/>
      </c>
      <c r="G31" s="37">
        <f>G28+G29+G30</f>
        <v/>
      </c>
      <c r="H31" s="37">
        <f>H28+H29+H30</f>
        <v/>
      </c>
      <c r="I31" s="3" t="inlineStr">
        <is>
          <t>MECE check</t>
        </is>
      </c>
    </row>
    <row r="32">
      <c r="B32" s="14" t="inlineStr">
        <is>
          <t>Colony gate</t>
        </is>
      </c>
      <c r="C32" s="14" t="inlineStr">
        <is>
          <t>NZ$/doz</t>
        </is>
      </c>
      <c r="D32" s="8">
        <f>'Assumptions'!$D$103*(1+'Assumptions'!$D$110)^0</f>
        <v/>
      </c>
      <c r="E32" s="8">
        <f>'Assumptions'!$D$103*(1+'Assumptions'!$D$110)^1</f>
        <v/>
      </c>
      <c r="F32" s="8">
        <f>'Assumptions'!$D$103*(1+'Assumptions'!$D$110)^2</f>
        <v/>
      </c>
      <c r="G32" s="8">
        <f>'Assumptions'!$D$103*(1+'Assumptions'!$D$110)^3</f>
        <v/>
      </c>
      <c r="H32" s="8">
        <f>'Assumptions'!$D$103*(1+'Assumptions'!$D$110)^4</f>
        <v/>
      </c>
      <c r="I32" s="3" t="inlineStr">
        <is>
          <t>Indexed at commodity-gate inflation</t>
        </is>
      </c>
    </row>
    <row r="33">
      <c r="B33" s="14" t="inlineStr">
        <is>
          <t>Barn gate (incl. scenario adjustment)</t>
        </is>
      </c>
      <c r="C33" s="14" t="inlineStr">
        <is>
          <t>NZ$/doz</t>
        </is>
      </c>
      <c r="D33" s="8">
        <f>'Assumptions'!$D$102*(1+'Assumptions'!$D$110)^0*(1+'Assumptions'!$D$178)</f>
        <v/>
      </c>
      <c r="E33" s="8">
        <f>'Assumptions'!$D$102*(1+'Assumptions'!$D$110)^1*(1+'Assumptions'!$E$178)</f>
        <v/>
      </c>
      <c r="F33" s="8">
        <f>'Assumptions'!$D$102*(1+'Assumptions'!$D$110)^2*(1+'Assumptions'!$F$178)</f>
        <v/>
      </c>
      <c r="G33" s="8">
        <f>'Assumptions'!$D$102*(1+'Assumptions'!$D$110)^3*(1+'Assumptions'!$G$178)</f>
        <v/>
      </c>
      <c r="H33" s="8">
        <f>'Assumptions'!$D$102*(1+'Assumptions'!$D$110)^4*(1+'Assumptions'!$H$178)</f>
        <v/>
      </c>
      <c r="I33" s="3" t="inlineStr">
        <is>
          <t>Price response to the supply scenario - NOT held flat (standards s.3.1)</t>
        </is>
      </c>
    </row>
    <row r="34">
      <c r="B34" s="14" t="inlineStr">
        <is>
          <t>FR premium over barn</t>
        </is>
      </c>
      <c r="C34" s="14" t="inlineStr">
        <is>
          <t>%</t>
        </is>
      </c>
      <c r="D34" s="36">
        <f>'Assumptions'!$D$177</f>
        <v/>
      </c>
      <c r="E34" s="36">
        <f>'Assumptions'!$E$177</f>
        <v/>
      </c>
      <c r="F34" s="36">
        <f>'Assumptions'!$F$177</f>
        <v/>
      </c>
      <c r="G34" s="36">
        <f>'Assumptions'!$G$177</f>
        <v/>
      </c>
      <c r="H34" s="36">
        <f>'Assumptions'!$H$177</f>
        <v/>
      </c>
      <c r="I34" s="3" t="inlineStr">
        <is>
          <t>Calthorpe Part 3 trajectory family</t>
        </is>
      </c>
    </row>
    <row r="35">
      <c r="B35" s="14" t="inlineStr">
        <is>
          <t>Free-range gate</t>
        </is>
      </c>
      <c r="C35" s="14" t="inlineStr">
        <is>
          <t>NZ$/doz</t>
        </is>
      </c>
      <c r="D35" s="38">
        <f>D33*(1+D34)</f>
        <v/>
      </c>
      <c r="E35" s="38">
        <f>E33*(1+E34)</f>
        <v/>
      </c>
      <c r="F35" s="38">
        <f>F33*(1+F34)</f>
        <v/>
      </c>
      <c r="G35" s="38">
        <f>G33*(1+G34)</f>
        <v/>
      </c>
      <c r="H35" s="38">
        <f>H33*(1+H34)</f>
        <v/>
      </c>
      <c r="I35" s="3" t="inlineStr"/>
    </row>
    <row r="36">
      <c r="B36" s="14" t="inlineStr">
        <is>
          <t>Mix-weighted system gate</t>
        </is>
      </c>
      <c r="C36" s="14" t="inlineStr">
        <is>
          <t>NZ$/doz</t>
        </is>
      </c>
      <c r="D36" s="38">
        <f>D28*D32+D29*D33+D30*D35</f>
        <v/>
      </c>
      <c r="E36" s="38">
        <f>E28*E32+E29*E33+E30*E35</f>
        <v/>
      </c>
      <c r="F36" s="38">
        <f>F28*F32+F29*F33+F30*F35</f>
        <v/>
      </c>
      <c r="G36" s="38">
        <f>G28*G32+G29*G33+G30*G35</f>
        <v/>
      </c>
      <c r="H36" s="38">
        <f>H28*H32+H29*H33+H30*H35</f>
        <v/>
      </c>
      <c r="I36" s="3" t="inlineStr"/>
    </row>
    <row r="37">
      <c r="B37" s="14" t="inlineStr">
        <is>
          <t>Calibration factor K (premium-tier / direct / channel uplift)</t>
        </is>
      </c>
      <c r="C37" s="14" t="inlineStr">
        <is>
          <t>x</t>
        </is>
      </c>
      <c r="D37" s="26">
        <f>'Assumptions'!$D$109/D36</f>
        <v/>
      </c>
      <c r="I37" s="3" t="inlineStr">
        <is>
          <t>K = FY26 blended gate NZ$6.40 / FY26 mix-weighted system gate; holds constant across years and scenarios. Carries the blended-gate calibration caveat (Assumptions).</t>
        </is>
      </c>
    </row>
    <row r="38">
      <c r="B38" s="14" t="inlineStr">
        <is>
          <t>Blended producer gate (all channels)</t>
        </is>
      </c>
      <c r="C38" s="14" t="inlineStr">
        <is>
          <t>NZ$/doz</t>
        </is>
      </c>
      <c r="D38" s="38">
        <f>D36*'Forecast_FY26_30'!$D$37</f>
        <v/>
      </c>
      <c r="E38" s="38">
        <f>E36*'Forecast_FY26_30'!$D$37</f>
        <v/>
      </c>
      <c r="F38" s="38">
        <f>F36*'Forecast_FY26_30'!$D$37</f>
        <v/>
      </c>
      <c r="G38" s="38">
        <f>G36*'Forecast_FY26_30'!$D$37</f>
        <v/>
      </c>
      <c r="H38" s="38">
        <f>H36*'Forecast_FY26_30'!$D$37</f>
        <v/>
      </c>
      <c r="I38" s="3" t="inlineStr">
        <is>
          <t>Mix-weighted gate x K</t>
        </is>
      </c>
    </row>
    <row r="39">
      <c r="B39" s="14" t="inlineStr">
        <is>
          <t>Volume sold (incl. supply adjustment)</t>
        </is>
      </c>
      <c r="C39" s="14" t="inlineStr">
        <is>
          <t>M dozen</t>
        </is>
      </c>
      <c r="D39" s="29">
        <f>'Forecast_FY26_30'!$D$22*(1+'Assumptions'!$D$179)</f>
        <v/>
      </c>
      <c r="E39" s="29">
        <f>'Forecast_FY26_30'!$E$22*(1+'Assumptions'!$E$179)</f>
        <v/>
      </c>
      <c r="F39" s="29">
        <f>'Forecast_FY26_30'!$F$22*(1+'Assumptions'!$F$179)</f>
        <v/>
      </c>
      <c r="G39" s="29">
        <f>'Forecast_FY26_30'!$G$22*(1+'Assumptions'!$G$179)</f>
        <v/>
      </c>
      <c r="H39" s="29">
        <f>'Forecast_FY26_30'!$H$22*(1+'Assumptions'!$H$179)</f>
        <v/>
      </c>
      <c r="I39" s="3" t="inlineStr"/>
    </row>
    <row r="40">
      <c r="B40" s="14" t="inlineStr">
        <is>
          <t>MARKET REVENUE (producer-side)</t>
        </is>
      </c>
      <c r="C40" s="14" t="inlineStr">
        <is>
          <t>NZ$M</t>
        </is>
      </c>
      <c r="D40" s="30">
        <f>D39*D38</f>
        <v/>
      </c>
      <c r="E40" s="30">
        <f>E39*E38</f>
        <v/>
      </c>
      <c r="F40" s="30">
        <f>F39*F38</f>
        <v/>
      </c>
      <c r="G40" s="30">
        <f>G39*G38</f>
        <v/>
      </c>
      <c r="H40" s="30">
        <f>H39*H38</f>
        <v/>
      </c>
      <c r="I40" s="3" t="inlineStr"/>
    </row>
    <row r="41">
      <c r="B41" s="14" t="inlineStr">
        <is>
          <t xml:space="preserve">  growth YoY</t>
        </is>
      </c>
      <c r="C41" s="14" t="inlineStr">
        <is>
          <t>%</t>
        </is>
      </c>
      <c r="E41" s="31">
        <f>E40/D40-1</f>
        <v/>
      </c>
      <c r="F41" s="31">
        <f>F40/E40-1</f>
        <v/>
      </c>
      <c r="G41" s="31">
        <f>G40/F40-1</f>
        <v/>
      </c>
      <c r="H41" s="31">
        <f>H40/G40-1</f>
        <v/>
      </c>
      <c r="I41" s="3" t="inlineStr">
        <is>
          <t>Mix-driven value uplift as the colony (cheapest) tier exits retail</t>
        </is>
      </c>
    </row>
    <row r="42">
      <c r="B42" s="14" t="inlineStr">
        <is>
          <t>NZD/USD (house forecast by year)</t>
        </is>
      </c>
      <c r="C42" s="14" t="inlineStr">
        <is>
          <t>USD/NZD</t>
        </is>
      </c>
      <c r="D42" s="32">
        <f>'Assumptions'!$D$19</f>
        <v/>
      </c>
      <c r="E42" s="32">
        <f>'Assumptions'!$D$20</f>
        <v/>
      </c>
      <c r="F42" s="32">
        <f>'Assumptions'!$D$21</f>
        <v/>
      </c>
      <c r="G42" s="32">
        <f>'Assumptions'!$D$22</f>
        <v/>
      </c>
      <c r="H42" s="32">
        <f>'Assumptions'!$D$23</f>
        <v/>
      </c>
      <c r="I42" s="3" t="inlineStr"/>
    </row>
    <row r="43">
      <c r="B43" s="14" t="inlineStr">
        <is>
          <t>MARKET REVENUE (producer-side)</t>
        </is>
      </c>
      <c r="C43" s="14" t="inlineStr">
        <is>
          <t>US$M</t>
        </is>
      </c>
      <c r="D43" s="30">
        <f>D40*D42</f>
        <v/>
      </c>
      <c r="E43" s="30">
        <f>E40*E42</f>
        <v/>
      </c>
      <c r="F43" s="30">
        <f>F40*F42</f>
        <v/>
      </c>
      <c r="G43" s="30">
        <f>G40*G42</f>
        <v/>
      </c>
      <c r="H43" s="30">
        <f>H40*H42</f>
        <v/>
      </c>
      <c r="I43" s="3" t="inlineStr">
        <is>
          <t>USD headline</t>
        </is>
      </c>
    </row>
    <row r="44"/>
    <row r="45">
      <c r="B45" s="41" t="inlineStr">
        <is>
          <t>S2  CAPACITY GAP  (supply-tight; imports partially backfill)</t>
        </is>
      </c>
      <c r="C45" s="41" t="n"/>
      <c r="D45" s="41" t="n"/>
      <c r="E45" s="41" t="n"/>
      <c r="F45" s="41" t="n"/>
      <c r="G45" s="41" t="n"/>
      <c r="H45" s="41" t="n"/>
      <c r="I45" s="41" t="n"/>
    </row>
    <row r="46" ht="30" customHeight="1">
      <c r="B46" s="3" t="inlineStr">
        <is>
          <t>DRIVER: DOC waitlists re-tighten to 6-9 mo, notified consents run 9-12 mo, equipment queue binds; only ~75% converted at deadline. CONSEQUENCE: 12-18 months of elevated cage-free wholesale (+8% FY27-28), supply -3/-4%, AU barn imports at the value end; premium holds ~14.5%; stranded colony volume hits laggards (Aurora block, Transition tab).</t>
        </is>
      </c>
    </row>
    <row r="47">
      <c r="B47" s="5" t="inlineStr">
        <is>
          <t>Line</t>
        </is>
      </c>
      <c r="C47" s="5" t="inlineStr">
        <is>
          <t>Unit</t>
        </is>
      </c>
      <c r="D47" s="12" t="inlineStr">
        <is>
          <t>FY2026</t>
        </is>
      </c>
      <c r="E47" s="12" t="inlineStr">
        <is>
          <t>FY2027</t>
        </is>
      </c>
      <c r="F47" s="12" t="inlineStr">
        <is>
          <t>FY2028</t>
        </is>
      </c>
      <c r="G47" s="12" t="inlineStr">
        <is>
          <t>FY2029</t>
        </is>
      </c>
      <c r="H47" s="12" t="inlineStr">
        <is>
          <t>FY2030</t>
        </is>
      </c>
      <c r="I47" s="3" t="inlineStr">
        <is>
          <t>Source / notes</t>
        </is>
      </c>
    </row>
    <row r="48">
      <c r="B48" s="14" t="inlineStr">
        <is>
          <t>System mix - colony</t>
        </is>
      </c>
      <c r="C48" s="14" t="inlineStr">
        <is>
          <t>% flock</t>
        </is>
      </c>
      <c r="D48" s="33">
        <f>'Assumptions'!$D$180</f>
        <v/>
      </c>
      <c r="E48" s="33">
        <f>'Assumptions'!$E$180</f>
        <v/>
      </c>
      <c r="F48" s="33">
        <f>'Assumptions'!$F$180</f>
        <v/>
      </c>
      <c r="G48" s="33">
        <f>'Assumptions'!$G$180</f>
        <v/>
      </c>
      <c r="H48" s="33">
        <f>'Assumptions'!$H$180</f>
        <v/>
      </c>
      <c r="I48" s="3" t="inlineStr">
        <is>
          <t>Assumptions s.H</t>
        </is>
      </c>
    </row>
    <row r="49">
      <c r="B49" s="14" t="inlineStr">
        <is>
          <t>System mix - barn</t>
        </is>
      </c>
      <c r="C49" s="14" t="inlineStr">
        <is>
          <t>% flock</t>
        </is>
      </c>
      <c r="D49" s="33">
        <f>'Assumptions'!$D$181</f>
        <v/>
      </c>
      <c r="E49" s="33">
        <f>'Assumptions'!$E$181</f>
        <v/>
      </c>
      <c r="F49" s="33">
        <f>'Assumptions'!$F$181</f>
        <v/>
      </c>
      <c r="G49" s="33">
        <f>'Assumptions'!$G$181</f>
        <v/>
      </c>
      <c r="H49" s="33">
        <f>'Assumptions'!$H$181</f>
        <v/>
      </c>
      <c r="I49" s="3" t="inlineStr"/>
    </row>
    <row r="50">
      <c r="B50" s="14" t="inlineStr">
        <is>
          <t>System mix - free-range</t>
        </is>
      </c>
      <c r="C50" s="14" t="inlineStr">
        <is>
          <t>% flock</t>
        </is>
      </c>
      <c r="D50" s="33">
        <f>'Assumptions'!$D$182</f>
        <v/>
      </c>
      <c r="E50" s="33">
        <f>'Assumptions'!$E$182</f>
        <v/>
      </c>
      <c r="F50" s="33">
        <f>'Assumptions'!$F$182</f>
        <v/>
      </c>
      <c r="G50" s="33">
        <f>'Assumptions'!$G$182</f>
        <v/>
      </c>
      <c r="H50" s="33">
        <f>'Assumptions'!$H$182</f>
        <v/>
      </c>
      <c r="I50" s="3" t="inlineStr"/>
    </row>
    <row r="51">
      <c r="B51" s="14" t="inlineStr">
        <is>
          <t xml:space="preserve">  mix check (must = 100%)</t>
        </is>
      </c>
      <c r="C51" s="14" t="inlineStr">
        <is>
          <t>%</t>
        </is>
      </c>
      <c r="D51" s="37">
        <f>D48+D49+D50</f>
        <v/>
      </c>
      <c r="E51" s="37">
        <f>E48+E49+E50</f>
        <v/>
      </c>
      <c r="F51" s="37">
        <f>F48+F49+F50</f>
        <v/>
      </c>
      <c r="G51" s="37">
        <f>G48+G49+G50</f>
        <v/>
      </c>
      <c r="H51" s="37">
        <f>H48+H49+H50</f>
        <v/>
      </c>
      <c r="I51" s="3" t="inlineStr">
        <is>
          <t>MECE check</t>
        </is>
      </c>
    </row>
    <row r="52">
      <c r="B52" s="14" t="inlineStr">
        <is>
          <t>Colony gate</t>
        </is>
      </c>
      <c r="C52" s="14" t="inlineStr">
        <is>
          <t>NZ$/doz</t>
        </is>
      </c>
      <c r="D52" s="8">
        <f>'Assumptions'!$D$103*(1+'Assumptions'!$D$110)^0</f>
        <v/>
      </c>
      <c r="E52" s="8">
        <f>'Assumptions'!$D$103*(1+'Assumptions'!$D$110)^1</f>
        <v/>
      </c>
      <c r="F52" s="8">
        <f>'Assumptions'!$D$103*(1+'Assumptions'!$D$110)^2</f>
        <v/>
      </c>
      <c r="G52" s="8">
        <f>'Assumptions'!$D$103*(1+'Assumptions'!$D$110)^3</f>
        <v/>
      </c>
      <c r="H52" s="8">
        <f>'Assumptions'!$D$103*(1+'Assumptions'!$D$110)^4</f>
        <v/>
      </c>
      <c r="I52" s="3" t="inlineStr">
        <is>
          <t>Indexed at commodity-gate inflation</t>
        </is>
      </c>
    </row>
    <row r="53">
      <c r="B53" s="14" t="inlineStr">
        <is>
          <t>Barn gate (incl. scenario adjustment)</t>
        </is>
      </c>
      <c r="C53" s="14" t="inlineStr">
        <is>
          <t>NZ$/doz</t>
        </is>
      </c>
      <c r="D53" s="8">
        <f>'Assumptions'!$D$102*(1+'Assumptions'!$D$110)^0*(1+'Assumptions'!$D$184)</f>
        <v/>
      </c>
      <c r="E53" s="8">
        <f>'Assumptions'!$D$102*(1+'Assumptions'!$D$110)^1*(1+'Assumptions'!$E$184)</f>
        <v/>
      </c>
      <c r="F53" s="8">
        <f>'Assumptions'!$D$102*(1+'Assumptions'!$D$110)^2*(1+'Assumptions'!$F$184)</f>
        <v/>
      </c>
      <c r="G53" s="8">
        <f>'Assumptions'!$D$102*(1+'Assumptions'!$D$110)^3*(1+'Assumptions'!$G$184)</f>
        <v/>
      </c>
      <c r="H53" s="8">
        <f>'Assumptions'!$D$102*(1+'Assumptions'!$D$110)^4*(1+'Assumptions'!$H$184)</f>
        <v/>
      </c>
      <c r="I53" s="3" t="inlineStr">
        <is>
          <t>Price response to the supply scenario - NOT held flat (standards s.3.1)</t>
        </is>
      </c>
    </row>
    <row r="54">
      <c r="B54" s="14" t="inlineStr">
        <is>
          <t>FR premium over barn</t>
        </is>
      </c>
      <c r="C54" s="14" t="inlineStr">
        <is>
          <t>%</t>
        </is>
      </c>
      <c r="D54" s="36">
        <f>'Assumptions'!$D$183</f>
        <v/>
      </c>
      <c r="E54" s="36">
        <f>'Assumptions'!$E$183</f>
        <v/>
      </c>
      <c r="F54" s="36">
        <f>'Assumptions'!$F$183</f>
        <v/>
      </c>
      <c r="G54" s="36">
        <f>'Assumptions'!$G$183</f>
        <v/>
      </c>
      <c r="H54" s="36">
        <f>'Assumptions'!$H$183</f>
        <v/>
      </c>
      <c r="I54" s="3" t="inlineStr">
        <is>
          <t>Calthorpe Part 3 trajectory family</t>
        </is>
      </c>
    </row>
    <row r="55">
      <c r="B55" s="14" t="inlineStr">
        <is>
          <t>Free-range gate</t>
        </is>
      </c>
      <c r="C55" s="14" t="inlineStr">
        <is>
          <t>NZ$/doz</t>
        </is>
      </c>
      <c r="D55" s="38">
        <f>D53*(1+D54)</f>
        <v/>
      </c>
      <c r="E55" s="38">
        <f>E53*(1+E54)</f>
        <v/>
      </c>
      <c r="F55" s="38">
        <f>F53*(1+F54)</f>
        <v/>
      </c>
      <c r="G55" s="38">
        <f>G53*(1+G54)</f>
        <v/>
      </c>
      <c r="H55" s="38">
        <f>H53*(1+H54)</f>
        <v/>
      </c>
      <c r="I55" s="3" t="inlineStr"/>
    </row>
    <row r="56">
      <c r="B56" s="14" t="inlineStr">
        <is>
          <t>Mix-weighted system gate</t>
        </is>
      </c>
      <c r="C56" s="14" t="inlineStr">
        <is>
          <t>NZ$/doz</t>
        </is>
      </c>
      <c r="D56" s="38">
        <f>D48*D52+D49*D53+D50*D55</f>
        <v/>
      </c>
      <c r="E56" s="38">
        <f>E48*E52+E49*E53+E50*E55</f>
        <v/>
      </c>
      <c r="F56" s="38">
        <f>F48*F52+F49*F53+F50*F55</f>
        <v/>
      </c>
      <c r="G56" s="38">
        <f>G48*G52+G49*G53+G50*G55</f>
        <v/>
      </c>
      <c r="H56" s="38">
        <f>H48*H52+H49*H53+H50*H55</f>
        <v/>
      </c>
      <c r="I56" s="3" t="inlineStr"/>
    </row>
    <row r="57">
      <c r="B57" s="14" t="inlineStr">
        <is>
          <t>Blended producer gate (all channels)</t>
        </is>
      </c>
      <c r="C57" s="14" t="inlineStr">
        <is>
          <t>NZ$/doz</t>
        </is>
      </c>
      <c r="D57" s="38">
        <f>D56*'Forecast_FY26_30'!$D$37</f>
        <v/>
      </c>
      <c r="E57" s="38">
        <f>E56*'Forecast_FY26_30'!$D$37</f>
        <v/>
      </c>
      <c r="F57" s="38">
        <f>F56*'Forecast_FY26_30'!$D$37</f>
        <v/>
      </c>
      <c r="G57" s="38">
        <f>G56*'Forecast_FY26_30'!$D$37</f>
        <v/>
      </c>
      <c r="H57" s="38">
        <f>H56*'Forecast_FY26_30'!$D$37</f>
        <v/>
      </c>
      <c r="I57" s="3" t="inlineStr">
        <is>
          <t>Mix-weighted gate x K</t>
        </is>
      </c>
    </row>
    <row r="58">
      <c r="B58" s="14" t="inlineStr">
        <is>
          <t>Volume sold (incl. supply adjustment)</t>
        </is>
      </c>
      <c r="C58" s="14" t="inlineStr">
        <is>
          <t>M dozen</t>
        </is>
      </c>
      <c r="D58" s="29">
        <f>'Forecast_FY26_30'!$D$22*(1+'Assumptions'!$D$185)</f>
        <v/>
      </c>
      <c r="E58" s="29">
        <f>'Forecast_FY26_30'!$E$22*(1+'Assumptions'!$E$185)</f>
        <v/>
      </c>
      <c r="F58" s="29">
        <f>'Forecast_FY26_30'!$F$22*(1+'Assumptions'!$F$185)</f>
        <v/>
      </c>
      <c r="G58" s="29">
        <f>'Forecast_FY26_30'!$G$22*(1+'Assumptions'!$G$185)</f>
        <v/>
      </c>
      <c r="H58" s="29">
        <f>'Forecast_FY26_30'!$H$22*(1+'Assumptions'!$H$185)</f>
        <v/>
      </c>
      <c r="I58" s="3" t="inlineStr"/>
    </row>
    <row r="59">
      <c r="B59" s="14" t="inlineStr">
        <is>
          <t>MARKET REVENUE (producer-side)</t>
        </is>
      </c>
      <c r="C59" s="14" t="inlineStr">
        <is>
          <t>NZ$M</t>
        </is>
      </c>
      <c r="D59" s="30">
        <f>D58*D57</f>
        <v/>
      </c>
      <c r="E59" s="30">
        <f>E58*E57</f>
        <v/>
      </c>
      <c r="F59" s="30">
        <f>F58*F57</f>
        <v/>
      </c>
      <c r="G59" s="30">
        <f>G58*G57</f>
        <v/>
      </c>
      <c r="H59" s="30">
        <f>H58*H57</f>
        <v/>
      </c>
      <c r="I59" s="3" t="inlineStr"/>
    </row>
    <row r="60">
      <c r="B60" s="14" t="inlineStr">
        <is>
          <t xml:space="preserve">  growth YoY</t>
        </is>
      </c>
      <c r="C60" s="14" t="inlineStr">
        <is>
          <t>%</t>
        </is>
      </c>
      <c r="E60" s="31">
        <f>E59/D59-1</f>
        <v/>
      </c>
      <c r="F60" s="31">
        <f>F59/E59-1</f>
        <v/>
      </c>
      <c r="G60" s="31">
        <f>G59/F59-1</f>
        <v/>
      </c>
      <c r="H60" s="31">
        <f>H59/G59-1</f>
        <v/>
      </c>
      <c r="I60" s="3" t="inlineStr">
        <is>
          <t>Mix-driven value uplift as the colony (cheapest) tier exits retail</t>
        </is>
      </c>
    </row>
    <row r="61">
      <c r="B61" s="14" t="inlineStr">
        <is>
          <t>NZD/USD (house forecast by year)</t>
        </is>
      </c>
      <c r="C61" s="14" t="inlineStr">
        <is>
          <t>USD/NZD</t>
        </is>
      </c>
      <c r="D61" s="32">
        <f>'Assumptions'!$D$19</f>
        <v/>
      </c>
      <c r="E61" s="32">
        <f>'Assumptions'!$D$20</f>
        <v/>
      </c>
      <c r="F61" s="32">
        <f>'Assumptions'!$D$21</f>
        <v/>
      </c>
      <c r="G61" s="32">
        <f>'Assumptions'!$D$22</f>
        <v/>
      </c>
      <c r="H61" s="32">
        <f>'Assumptions'!$D$23</f>
        <v/>
      </c>
      <c r="I61" s="3" t="inlineStr"/>
    </row>
    <row r="62">
      <c r="B62" s="14" t="inlineStr">
        <is>
          <t>MARKET REVENUE (producer-side)</t>
        </is>
      </c>
      <c r="C62" s="14" t="inlineStr">
        <is>
          <t>US$M</t>
        </is>
      </c>
      <c r="D62" s="30">
        <f>D59*D61</f>
        <v/>
      </c>
      <c r="E62" s="30">
        <f>E59*E61</f>
        <v/>
      </c>
      <c r="F62" s="30">
        <f>F59*F61</f>
        <v/>
      </c>
      <c r="G62" s="30">
        <f>G59*G61</f>
        <v/>
      </c>
      <c r="H62" s="30">
        <f>H59*H61</f>
        <v/>
      </c>
      <c r="I62" s="3" t="inlineStr">
        <is>
          <t>USD headline</t>
        </is>
      </c>
    </row>
    <row r="63"/>
    <row r="64">
      <c r="B64" s="41" t="inlineStr">
        <is>
          <t>S3  PREMIUM COLLAPSE  (oversupply)</t>
        </is>
      </c>
      <c r="C64" s="41" t="n"/>
      <c r="D64" s="41" t="n"/>
      <c r="E64" s="41" t="n"/>
      <c r="F64" s="41" t="n"/>
      <c r="G64" s="41" t="n"/>
      <c r="H64" s="41" t="n"/>
      <c r="I64" s="41" t="n"/>
    </row>
    <row r="65" ht="30" customHeight="1">
      <c r="B65" s="3" t="inlineStr">
        <is>
          <t>DRIVER: conversion overshoots into barn just as cost-of-living trade-down peaks (20-25% of FR buyers flip; barn&lt;-&gt;FR cross-elasticity 0.62-0.71). CONSEQUENCE: FR premium falls to ~9% by FY28, barn gate -4%; category revenue compresses vs central.</t>
        </is>
      </c>
    </row>
    <row r="66">
      <c r="B66" s="5" t="inlineStr">
        <is>
          <t>Line</t>
        </is>
      </c>
      <c r="C66" s="5" t="inlineStr">
        <is>
          <t>Unit</t>
        </is>
      </c>
      <c r="D66" s="12" t="inlineStr">
        <is>
          <t>FY2026</t>
        </is>
      </c>
      <c r="E66" s="12" t="inlineStr">
        <is>
          <t>FY2027</t>
        </is>
      </c>
      <c r="F66" s="12" t="inlineStr">
        <is>
          <t>FY2028</t>
        </is>
      </c>
      <c r="G66" s="12" t="inlineStr">
        <is>
          <t>FY2029</t>
        </is>
      </c>
      <c r="H66" s="12" t="inlineStr">
        <is>
          <t>FY2030</t>
        </is>
      </c>
      <c r="I66" s="3" t="inlineStr">
        <is>
          <t>Source / notes</t>
        </is>
      </c>
    </row>
    <row r="67">
      <c r="B67" s="14" t="inlineStr">
        <is>
          <t>System mix - colony</t>
        </is>
      </c>
      <c r="C67" s="14" t="inlineStr">
        <is>
          <t>% flock</t>
        </is>
      </c>
      <c r="D67" s="33">
        <f>'Assumptions'!$D$186</f>
        <v/>
      </c>
      <c r="E67" s="33">
        <f>'Assumptions'!$E$186</f>
        <v/>
      </c>
      <c r="F67" s="33">
        <f>'Assumptions'!$F$186</f>
        <v/>
      </c>
      <c r="G67" s="33">
        <f>'Assumptions'!$G$186</f>
        <v/>
      </c>
      <c r="H67" s="33">
        <f>'Assumptions'!$H$186</f>
        <v/>
      </c>
      <c r="I67" s="3" t="inlineStr">
        <is>
          <t>Assumptions s.H</t>
        </is>
      </c>
    </row>
    <row r="68">
      <c r="B68" s="14" t="inlineStr">
        <is>
          <t>System mix - barn</t>
        </is>
      </c>
      <c r="C68" s="14" t="inlineStr">
        <is>
          <t>% flock</t>
        </is>
      </c>
      <c r="D68" s="33">
        <f>'Assumptions'!$D$187</f>
        <v/>
      </c>
      <c r="E68" s="33">
        <f>'Assumptions'!$E$187</f>
        <v/>
      </c>
      <c r="F68" s="33">
        <f>'Assumptions'!$F$187</f>
        <v/>
      </c>
      <c r="G68" s="33">
        <f>'Assumptions'!$G$187</f>
        <v/>
      </c>
      <c r="H68" s="33">
        <f>'Assumptions'!$H$187</f>
        <v/>
      </c>
      <c r="I68" s="3" t="inlineStr"/>
    </row>
    <row r="69">
      <c r="B69" s="14" t="inlineStr">
        <is>
          <t>System mix - free-range</t>
        </is>
      </c>
      <c r="C69" s="14" t="inlineStr">
        <is>
          <t>% flock</t>
        </is>
      </c>
      <c r="D69" s="33">
        <f>'Assumptions'!$D$188</f>
        <v/>
      </c>
      <c r="E69" s="33">
        <f>'Assumptions'!$E$188</f>
        <v/>
      </c>
      <c r="F69" s="33">
        <f>'Assumptions'!$F$188</f>
        <v/>
      </c>
      <c r="G69" s="33">
        <f>'Assumptions'!$G$188</f>
        <v/>
      </c>
      <c r="H69" s="33">
        <f>'Assumptions'!$H$188</f>
        <v/>
      </c>
      <c r="I69" s="3" t="inlineStr"/>
    </row>
    <row r="70">
      <c r="B70" s="14" t="inlineStr">
        <is>
          <t xml:space="preserve">  mix check (must = 100%)</t>
        </is>
      </c>
      <c r="C70" s="14" t="inlineStr">
        <is>
          <t>%</t>
        </is>
      </c>
      <c r="D70" s="37">
        <f>D67+D68+D69</f>
        <v/>
      </c>
      <c r="E70" s="37">
        <f>E67+E68+E69</f>
        <v/>
      </c>
      <c r="F70" s="37">
        <f>F67+F68+F69</f>
        <v/>
      </c>
      <c r="G70" s="37">
        <f>G67+G68+G69</f>
        <v/>
      </c>
      <c r="H70" s="37">
        <f>H67+H68+H69</f>
        <v/>
      </c>
      <c r="I70" s="3" t="inlineStr">
        <is>
          <t>MECE check</t>
        </is>
      </c>
    </row>
    <row r="71">
      <c r="B71" s="14" t="inlineStr">
        <is>
          <t>Colony gate</t>
        </is>
      </c>
      <c r="C71" s="14" t="inlineStr">
        <is>
          <t>NZ$/doz</t>
        </is>
      </c>
      <c r="D71" s="8">
        <f>'Assumptions'!$D$103*(1+'Assumptions'!$D$110)^0</f>
        <v/>
      </c>
      <c r="E71" s="8">
        <f>'Assumptions'!$D$103*(1+'Assumptions'!$D$110)^1</f>
        <v/>
      </c>
      <c r="F71" s="8">
        <f>'Assumptions'!$D$103*(1+'Assumptions'!$D$110)^2</f>
        <v/>
      </c>
      <c r="G71" s="8">
        <f>'Assumptions'!$D$103*(1+'Assumptions'!$D$110)^3</f>
        <v/>
      </c>
      <c r="H71" s="8">
        <f>'Assumptions'!$D$103*(1+'Assumptions'!$D$110)^4</f>
        <v/>
      </c>
      <c r="I71" s="3" t="inlineStr">
        <is>
          <t>Indexed at commodity-gate inflation</t>
        </is>
      </c>
    </row>
    <row r="72">
      <c r="B72" s="14" t="inlineStr">
        <is>
          <t>Barn gate (incl. scenario adjustment)</t>
        </is>
      </c>
      <c r="C72" s="14" t="inlineStr">
        <is>
          <t>NZ$/doz</t>
        </is>
      </c>
      <c r="D72" s="8">
        <f>'Assumptions'!$D$102*(1+'Assumptions'!$D$110)^0*(1+'Assumptions'!$D$190)</f>
        <v/>
      </c>
      <c r="E72" s="8">
        <f>'Assumptions'!$D$102*(1+'Assumptions'!$D$110)^1*(1+'Assumptions'!$E$190)</f>
        <v/>
      </c>
      <c r="F72" s="8">
        <f>'Assumptions'!$D$102*(1+'Assumptions'!$D$110)^2*(1+'Assumptions'!$F$190)</f>
        <v/>
      </c>
      <c r="G72" s="8">
        <f>'Assumptions'!$D$102*(1+'Assumptions'!$D$110)^3*(1+'Assumptions'!$G$190)</f>
        <v/>
      </c>
      <c r="H72" s="8">
        <f>'Assumptions'!$D$102*(1+'Assumptions'!$D$110)^4*(1+'Assumptions'!$H$190)</f>
        <v/>
      </c>
      <c r="I72" s="3" t="inlineStr">
        <is>
          <t>Price response to the supply scenario - NOT held flat (standards s.3.1)</t>
        </is>
      </c>
    </row>
    <row r="73">
      <c r="B73" s="14" t="inlineStr">
        <is>
          <t>FR premium over barn</t>
        </is>
      </c>
      <c r="C73" s="14" t="inlineStr">
        <is>
          <t>%</t>
        </is>
      </c>
      <c r="D73" s="36">
        <f>'Assumptions'!$D$189</f>
        <v/>
      </c>
      <c r="E73" s="36">
        <f>'Assumptions'!$E$189</f>
        <v/>
      </c>
      <c r="F73" s="36">
        <f>'Assumptions'!$F$189</f>
        <v/>
      </c>
      <c r="G73" s="36">
        <f>'Assumptions'!$G$189</f>
        <v/>
      </c>
      <c r="H73" s="36">
        <f>'Assumptions'!$H$189</f>
        <v/>
      </c>
      <c r="I73" s="3" t="inlineStr">
        <is>
          <t>Calthorpe Part 3 trajectory family</t>
        </is>
      </c>
    </row>
    <row r="74">
      <c r="B74" s="14" t="inlineStr">
        <is>
          <t>Free-range gate</t>
        </is>
      </c>
      <c r="C74" s="14" t="inlineStr">
        <is>
          <t>NZ$/doz</t>
        </is>
      </c>
      <c r="D74" s="38">
        <f>D72*(1+D73)</f>
        <v/>
      </c>
      <c r="E74" s="38">
        <f>E72*(1+E73)</f>
        <v/>
      </c>
      <c r="F74" s="38">
        <f>F72*(1+F73)</f>
        <v/>
      </c>
      <c r="G74" s="38">
        <f>G72*(1+G73)</f>
        <v/>
      </c>
      <c r="H74" s="38">
        <f>H72*(1+H73)</f>
        <v/>
      </c>
      <c r="I74" s="3" t="inlineStr"/>
    </row>
    <row r="75">
      <c r="B75" s="14" t="inlineStr">
        <is>
          <t>Mix-weighted system gate</t>
        </is>
      </c>
      <c r="C75" s="14" t="inlineStr">
        <is>
          <t>NZ$/doz</t>
        </is>
      </c>
      <c r="D75" s="38">
        <f>D67*D71+D68*D72+D69*D74</f>
        <v/>
      </c>
      <c r="E75" s="38">
        <f>E67*E71+E68*E72+E69*E74</f>
        <v/>
      </c>
      <c r="F75" s="38">
        <f>F67*F71+F68*F72+F69*F74</f>
        <v/>
      </c>
      <c r="G75" s="38">
        <f>G67*G71+G68*G72+G69*G74</f>
        <v/>
      </c>
      <c r="H75" s="38">
        <f>H67*H71+H68*H72+H69*H74</f>
        <v/>
      </c>
      <c r="I75" s="3" t="inlineStr"/>
    </row>
    <row r="76">
      <c r="B76" s="14" t="inlineStr">
        <is>
          <t>Blended producer gate (all channels)</t>
        </is>
      </c>
      <c r="C76" s="14" t="inlineStr">
        <is>
          <t>NZ$/doz</t>
        </is>
      </c>
      <c r="D76" s="38">
        <f>D75*'Forecast_FY26_30'!$D$37</f>
        <v/>
      </c>
      <c r="E76" s="38">
        <f>E75*'Forecast_FY26_30'!$D$37</f>
        <v/>
      </c>
      <c r="F76" s="38">
        <f>F75*'Forecast_FY26_30'!$D$37</f>
        <v/>
      </c>
      <c r="G76" s="38">
        <f>G75*'Forecast_FY26_30'!$D$37</f>
        <v/>
      </c>
      <c r="H76" s="38">
        <f>H75*'Forecast_FY26_30'!$D$37</f>
        <v/>
      </c>
      <c r="I76" s="3" t="inlineStr">
        <is>
          <t>Mix-weighted gate x K</t>
        </is>
      </c>
    </row>
    <row r="77">
      <c r="B77" s="14" t="inlineStr">
        <is>
          <t>Volume sold (incl. supply adjustment)</t>
        </is>
      </c>
      <c r="C77" s="14" t="inlineStr">
        <is>
          <t>M dozen</t>
        </is>
      </c>
      <c r="D77" s="29">
        <f>'Forecast_FY26_30'!$D$22*(1+'Assumptions'!$D$191)</f>
        <v/>
      </c>
      <c r="E77" s="29">
        <f>'Forecast_FY26_30'!$E$22*(1+'Assumptions'!$E$191)</f>
        <v/>
      </c>
      <c r="F77" s="29">
        <f>'Forecast_FY26_30'!$F$22*(1+'Assumptions'!$F$191)</f>
        <v/>
      </c>
      <c r="G77" s="29">
        <f>'Forecast_FY26_30'!$G$22*(1+'Assumptions'!$G$191)</f>
        <v/>
      </c>
      <c r="H77" s="29">
        <f>'Forecast_FY26_30'!$H$22*(1+'Assumptions'!$H$191)</f>
        <v/>
      </c>
      <c r="I77" s="3" t="inlineStr"/>
    </row>
    <row r="78">
      <c r="B78" s="14" t="inlineStr">
        <is>
          <t>MARKET REVENUE (producer-side)</t>
        </is>
      </c>
      <c r="C78" s="14" t="inlineStr">
        <is>
          <t>NZ$M</t>
        </is>
      </c>
      <c r="D78" s="30">
        <f>D77*D76</f>
        <v/>
      </c>
      <c r="E78" s="30">
        <f>E77*E76</f>
        <v/>
      </c>
      <c r="F78" s="30">
        <f>F77*F76</f>
        <v/>
      </c>
      <c r="G78" s="30">
        <f>G77*G76</f>
        <v/>
      </c>
      <c r="H78" s="30">
        <f>H77*H76</f>
        <v/>
      </c>
      <c r="I78" s="3" t="inlineStr"/>
    </row>
    <row r="79">
      <c r="B79" s="14" t="inlineStr">
        <is>
          <t xml:space="preserve">  growth YoY</t>
        </is>
      </c>
      <c r="C79" s="14" t="inlineStr">
        <is>
          <t>%</t>
        </is>
      </c>
      <c r="E79" s="31">
        <f>E78/D78-1</f>
        <v/>
      </c>
      <c r="F79" s="31">
        <f>F78/E78-1</f>
        <v/>
      </c>
      <c r="G79" s="31">
        <f>G78/F78-1</f>
        <v/>
      </c>
      <c r="H79" s="31">
        <f>H78/G78-1</f>
        <v/>
      </c>
      <c r="I79" s="3" t="inlineStr">
        <is>
          <t>Mix-driven value uplift as the colony (cheapest) tier exits retail</t>
        </is>
      </c>
    </row>
    <row r="80">
      <c r="B80" s="14" t="inlineStr">
        <is>
          <t>NZD/USD (house forecast by year)</t>
        </is>
      </c>
      <c r="C80" s="14" t="inlineStr">
        <is>
          <t>USD/NZD</t>
        </is>
      </c>
      <c r="D80" s="32">
        <f>'Assumptions'!$D$19</f>
        <v/>
      </c>
      <c r="E80" s="32">
        <f>'Assumptions'!$D$20</f>
        <v/>
      </c>
      <c r="F80" s="32">
        <f>'Assumptions'!$D$21</f>
        <v/>
      </c>
      <c r="G80" s="32">
        <f>'Assumptions'!$D$22</f>
        <v/>
      </c>
      <c r="H80" s="32">
        <f>'Assumptions'!$D$23</f>
        <v/>
      </c>
      <c r="I80" s="3" t="inlineStr"/>
    </row>
    <row r="81">
      <c r="B81" s="14" t="inlineStr">
        <is>
          <t>MARKET REVENUE (producer-side)</t>
        </is>
      </c>
      <c r="C81" s="14" t="inlineStr">
        <is>
          <t>US$M</t>
        </is>
      </c>
      <c r="D81" s="30">
        <f>D78*D80</f>
        <v/>
      </c>
      <c r="E81" s="30">
        <f>E78*E80</f>
        <v/>
      </c>
      <c r="F81" s="30">
        <f>F78*F80</f>
        <v/>
      </c>
      <c r="G81" s="30">
        <f>G78*G80</f>
        <v/>
      </c>
      <c r="H81" s="30">
        <f>H78*H80</f>
        <v/>
      </c>
      <c r="I81" s="3" t="inlineStr">
        <is>
          <t>USD headline</t>
        </is>
      </c>
    </row>
    <row r="82"/>
    <row r="83">
      <c r="A83" s="4" t="inlineStr">
        <is>
          <t>4.  AURORA OVERLAY - CENTRAL CASE (S1)  (preliminary outside-in; refresh on audited financials)</t>
        </is>
      </c>
      <c r="B83" s="4" t="n"/>
      <c r="C83" s="4" t="n"/>
      <c r="D83" s="4" t="n"/>
      <c r="E83" s="4" t="n"/>
      <c r="F83" s="4" t="n"/>
      <c r="G83" s="4" t="n"/>
      <c r="H83" s="4" t="n"/>
      <c r="I83" s="4" t="n"/>
    </row>
    <row r="84">
      <c r="B84" s="5" t="inlineStr">
        <is>
          <t>Line</t>
        </is>
      </c>
      <c r="C84" s="5" t="inlineStr">
        <is>
          <t>Unit</t>
        </is>
      </c>
      <c r="D84" s="12" t="inlineStr">
        <is>
          <t>FY2026</t>
        </is>
      </c>
      <c r="E84" s="12" t="inlineStr">
        <is>
          <t>FY2027</t>
        </is>
      </c>
      <c r="F84" s="12" t="inlineStr">
        <is>
          <t>FY2028</t>
        </is>
      </c>
      <c r="G84" s="12" t="inlineStr">
        <is>
          <t>FY2029</t>
        </is>
      </c>
      <c r="H84" s="12" t="inlineStr">
        <is>
          <t>FY2030</t>
        </is>
      </c>
      <c r="I84" s="3" t="inlineStr">
        <is>
          <t>Source / notes</t>
        </is>
      </c>
    </row>
    <row r="85">
      <c r="B85" s="14" t="inlineStr">
        <is>
          <t>Aurora volume share (working anchor, held flat)</t>
        </is>
      </c>
      <c r="C85" s="14" t="inlineStr">
        <is>
          <t>%</t>
        </is>
      </c>
      <c r="D85" s="33">
        <f>'Assumptions'!$D$59</f>
        <v/>
      </c>
      <c r="E85" s="33">
        <f>'Assumptions'!$D$59</f>
        <v/>
      </c>
      <c r="F85" s="33">
        <f>'Assumptions'!$D$59</f>
        <v/>
      </c>
      <c r="G85" s="33">
        <f>'Assumptions'!$D$59</f>
        <v/>
      </c>
      <c r="H85" s="33">
        <f>'Assumptions'!$D$59</f>
        <v/>
      </c>
      <c r="I85" s="3" t="inlineStr">
        <is>
          <t>Share-capture upside shown below as the broker-claim sensitivity, not central</t>
        </is>
      </c>
    </row>
    <row r="86">
      <c r="B86" s="14" t="inlineStr">
        <is>
          <t>Realisation factor vs market blend</t>
        </is>
      </c>
      <c r="C86" s="14" t="inlineStr">
        <is>
          <t>x</t>
        </is>
      </c>
      <c r="D86" s="26">
        <f>'Historical_Sizing'!$D$91</f>
        <v/>
      </c>
      <c r="E86" s="26">
        <f>'Historical_Sizing'!$D$91</f>
        <v/>
      </c>
      <c r="F86" s="26">
        <f>'Historical_Sizing'!$D$91</f>
        <v/>
      </c>
      <c r="G86" s="26">
        <f>'Historical_Sizing'!$D$91</f>
        <v/>
      </c>
      <c r="H86" s="26">
        <f>'Historical_Sizing'!$D$91</f>
        <v/>
      </c>
      <c r="I86" s="3" t="inlineStr">
        <is>
          <t>From Historical tab (FY24 calibration ~0.88; carries PL exposure + share/volume spread)</t>
        </is>
      </c>
    </row>
    <row r="87">
      <c r="B87" s="14" t="inlineStr">
        <is>
          <t>Aurora revenue - central</t>
        </is>
      </c>
      <c r="C87" s="14" t="inlineStr">
        <is>
          <t>NZ$M</t>
        </is>
      </c>
      <c r="D87" s="30">
        <f>D40*D85*D86</f>
        <v/>
      </c>
      <c r="E87" s="30">
        <f>E40*E85*E86</f>
        <v/>
      </c>
      <c r="F87" s="30">
        <f>F40*F85*F86</f>
        <v/>
      </c>
      <c r="G87" s="30">
        <f>G40*G85*G86</f>
        <v/>
      </c>
      <c r="H87" s="30">
        <f>H40*H85*H86</f>
        <v/>
      </c>
      <c r="I87" s="3" t="inlineStr"/>
    </row>
    <row r="88">
      <c r="B88" s="14" t="inlineStr">
        <is>
          <t>Aurora EBITDA margin path - central</t>
        </is>
      </c>
      <c r="C88" s="14" t="inlineStr">
        <is>
          <t>%</t>
        </is>
      </c>
      <c r="D88" s="36">
        <f>'Assumptions'!$D$152</f>
        <v/>
      </c>
      <c r="E88" s="36">
        <f>'Assumptions'!$E$152</f>
        <v/>
      </c>
      <c r="F88" s="36">
        <f>'Assumptions'!$F$152</f>
        <v/>
      </c>
      <c r="G88" s="36">
        <f>'Assumptions'!$G$152</f>
        <v/>
      </c>
      <c r="H88" s="36">
        <f>'Assumptions'!$H$152</f>
        <v/>
      </c>
      <c r="I88" s="3" t="inlineStr">
        <is>
          <t>12.8% FY24A less premium-compression drag (30% FR book; partial pass-through) - deal-team estimate</t>
        </is>
      </c>
    </row>
    <row r="89">
      <c r="B89" s="14" t="inlineStr">
        <is>
          <t>Aurora EBITDA - central</t>
        </is>
      </c>
      <c r="C89" s="14" t="inlineStr">
        <is>
          <t>NZ$M</t>
        </is>
      </c>
      <c r="D89" s="30">
        <f>D87*D88</f>
        <v/>
      </c>
      <c r="E89" s="30">
        <f>E87*E88</f>
        <v/>
      </c>
      <c r="F89" s="30">
        <f>F87*F88</f>
        <v/>
      </c>
      <c r="G89" s="30">
        <f>G87*G88</f>
        <v/>
      </c>
      <c r="H89" s="30">
        <f>H87*H88</f>
        <v/>
      </c>
      <c r="I89" s="3" t="inlineStr"/>
    </row>
    <row r="90">
      <c r="B90" s="14" t="inlineStr">
        <is>
          <t>Aurora EBITDA - central</t>
        </is>
      </c>
      <c r="C90" s="14" t="inlineStr">
        <is>
          <t>US$M</t>
        </is>
      </c>
      <c r="D90" s="29">
        <f>D89*'Assumptions'!$D$19</f>
        <v/>
      </c>
      <c r="E90" s="29">
        <f>E89*'Assumptions'!$D$20</f>
        <v/>
      </c>
      <c r="F90" s="29">
        <f>F89*'Assumptions'!$D$21</f>
        <v/>
      </c>
      <c r="G90" s="29">
        <f>G89*'Assumptions'!$D$22</f>
        <v/>
      </c>
      <c r="H90" s="29">
        <f>H89*'Assumptions'!$D$23</f>
        <v/>
      </c>
      <c r="I90" s="3" t="inlineStr">
        <is>
          <t>USD headline</t>
        </is>
      </c>
    </row>
    <row r="91">
      <c r="B91" s="14" t="inlineStr">
        <is>
          <t>Broker / IM revenue trajectory (+7% pa) - for reference</t>
        </is>
      </c>
      <c r="C91" s="14" t="inlineStr">
        <is>
          <t>NZ$M</t>
        </is>
      </c>
      <c r="D91" s="29">
        <f>'Assumptions'!$D$126*1.07^2</f>
        <v/>
      </c>
      <c r="E91" s="29">
        <f>'Assumptions'!$D$126*1.07^3</f>
        <v/>
      </c>
      <c r="F91" s="29">
        <f>'Assumptions'!$D$126*1.07^4</f>
        <v/>
      </c>
      <c r="G91" s="29">
        <f>'Assumptions'!$D$126*1.07^5</f>
        <v/>
      </c>
      <c r="H91" s="29">
        <f>'Assumptions'!$D$126*1.07^6</f>
        <v/>
      </c>
      <c r="I91" s="3" t="inlineStr">
        <is>
          <t>IM s.3 forecast</t>
        </is>
      </c>
    </row>
    <row r="92">
      <c r="B92" s="14" t="inlineStr">
        <is>
          <t xml:space="preserve">  model central vs IM trajectory</t>
        </is>
      </c>
      <c r="C92" s="14" t="inlineStr">
        <is>
          <t>%</t>
        </is>
      </c>
      <c r="D92" s="31">
        <f>D87/D91-1</f>
        <v/>
      </c>
      <c r="E92" s="31">
        <f>E87/E91-1</f>
        <v/>
      </c>
      <c r="F92" s="31">
        <f>F87/F91-1</f>
        <v/>
      </c>
      <c r="G92" s="31">
        <f>G87/G91-1</f>
        <v/>
      </c>
      <c r="H92" s="31">
        <f>H87/H91-1</f>
        <v/>
      </c>
      <c r="I92" s="10" t="inlineStr">
        <is>
          <t>Model central runs ~11-17% below the IM line - the IM volume claims are not supported by ACII / expert evidence (see supersession log)</t>
        </is>
      </c>
    </row>
    <row r="93">
      <c r="B93" s="14" t="inlineStr">
        <is>
          <t>Share-capture upside (broker claim, phased +0.5pp/yr)</t>
        </is>
      </c>
      <c r="C93" s="14" t="inlineStr">
        <is>
          <t>NZ$M</t>
        </is>
      </c>
      <c r="D93" s="29">
        <f>D40*('Assumptions'!$D$59+'Assumptions'!$D$153*1/5)*D86-D87</f>
        <v/>
      </c>
      <c r="E93" s="29">
        <f>E40*('Assumptions'!$D$59+'Assumptions'!$D$153*2/5)*E86-E87</f>
        <v/>
      </c>
      <c r="F93" s="29">
        <f>F40*('Assumptions'!$D$59+'Assumptions'!$D$153*3/5)*F86-F87</f>
        <v/>
      </c>
      <c r="G93" s="29">
        <f>G40*('Assumptions'!$D$59+'Assumptions'!$D$153*4/5)*G86-G87</f>
        <v/>
      </c>
      <c r="H93" s="29">
        <f>H40*('Assumptions'!$D$59+'Assumptions'!$D$153*5/5)*H86-H87</f>
        <v/>
      </c>
      <c r="I93" s="10" t="inlineStr">
        <is>
          <t>Incremental revenue if Aurora captures +2-3pp from long-tail exits by FY30 (IM s.3(c)) - carried as sensitivity only</t>
        </is>
      </c>
    </row>
    <row r="94"/>
    <row r="95">
      <c r="A95" s="4" t="inlineStr">
        <is>
          <t>5.  RETAIL-LENS CONTINUITY (top-down forward - for retail-channel share work only)</t>
        </is>
      </c>
      <c r="B95" s="4" t="n"/>
      <c r="C95" s="4" t="n"/>
      <c r="D95" s="4" t="n"/>
      <c r="E95" s="4" t="n"/>
      <c r="F95" s="4" t="n"/>
      <c r="G95" s="4" t="n"/>
      <c r="H95" s="4" t="n"/>
      <c r="I95" s="4" t="n"/>
    </row>
    <row r="96">
      <c r="B96" s="5" t="inlineStr">
        <is>
          <t>Line</t>
        </is>
      </c>
      <c r="C96" s="5" t="inlineStr">
        <is>
          <t>Unit</t>
        </is>
      </c>
      <c r="D96" s="12" t="inlineStr">
        <is>
          <t>FY2026</t>
        </is>
      </c>
      <c r="E96" s="12" t="inlineStr">
        <is>
          <t>FY2027</t>
        </is>
      </c>
      <c r="F96" s="12" t="inlineStr">
        <is>
          <t>FY2028</t>
        </is>
      </c>
      <c r="G96" s="12" t="inlineStr">
        <is>
          <t>FY2029</t>
        </is>
      </c>
      <c r="H96" s="12" t="inlineStr">
        <is>
          <t>FY2030</t>
        </is>
      </c>
      <c r="I96" s="3" t="inlineStr">
        <is>
          <t>Source / notes</t>
        </is>
      </c>
    </row>
    <row r="97">
      <c r="B97" s="14" t="inlineStr">
        <is>
          <t>Top-down retail market size (wholesale-equivalent)</t>
        </is>
      </c>
      <c r="C97" s="14" t="inlineStr">
        <is>
          <t>NZ$M</t>
        </is>
      </c>
      <c r="D97" s="29">
        <f>D17*'Assumptions'!$D$91*(1+'Assumptions'!$D$92)^1/'Assumptions'!$D$88</f>
        <v/>
      </c>
      <c r="E97" s="29">
        <f>E17*'Assumptions'!$D$91*(1+'Assumptions'!$D$92)^2/'Assumptions'!$D$88</f>
        <v/>
      </c>
      <c r="F97" s="29">
        <f>F17*'Assumptions'!$D$91*(1+'Assumptions'!$D$92)^3/'Assumptions'!$D$88</f>
        <v/>
      </c>
      <c r="G97" s="29">
        <f>G17*'Assumptions'!$D$91*(1+'Assumptions'!$D$92)^4/'Assumptions'!$D$88</f>
        <v/>
      </c>
      <c r="H97" s="29">
        <f>H17*'Assumptions'!$D$91*(1+'Assumptions'!$D$92)^5/'Assumptions'!$D$88</f>
        <v/>
      </c>
      <c r="I97" s="3" t="inlineStr">
        <is>
          <t>Consumption x shelf path / markup; use for retail-channel shares (standards s.2.1(c)) - NOT additive to the bottom-up view</t>
        </is>
      </c>
    </row>
    <row r="98">
      <c r="B98" s="14" t="inlineStr">
        <is>
          <t>Top-down retail market size</t>
        </is>
      </c>
      <c r="C98" s="14" t="inlineStr">
        <is>
          <t>US$M</t>
        </is>
      </c>
      <c r="D98" s="29">
        <f>D97*'Assumptions'!$D$19</f>
        <v/>
      </c>
      <c r="E98" s="29">
        <f>E97*'Assumptions'!$D$20</f>
        <v/>
      </c>
      <c r="F98" s="29">
        <f>F97*'Assumptions'!$D$21</f>
        <v/>
      </c>
      <c r="G98" s="29">
        <f>G97*'Assumptions'!$D$22</f>
        <v/>
      </c>
      <c r="H98" s="29">
        <f>H97*'Assumptions'!$D$23</f>
        <v/>
      </c>
      <c r="I98" s="3" t="inlineStr"/>
    </row>
    <row r="99"/>
    <row r="100">
      <c r="A100" s="4" t="inlineStr">
        <is>
          <t>6.  CONSUMER-DEMAND SENSITIVITY  (per-capita path / plant-based displacement / cost-of-living trade-down; 3 cases + breakeven each)</t>
        </is>
      </c>
      <c r="B100" s="4" t="n"/>
      <c r="C100" s="4" t="n"/>
      <c r="D100" s="4" t="n"/>
      <c r="E100" s="4" t="n"/>
      <c r="F100" s="4" t="n"/>
      <c r="G100" s="4" t="n"/>
      <c r="H100" s="4" t="n"/>
      <c r="I100" s="4" t="n"/>
    </row>
    <row r="101">
      <c r="B101" s="41" t="inlineStr">
        <is>
          <t>6a.  Per-capita consumption path (FY30 outputs at S1 pricing)</t>
        </is>
      </c>
      <c r="C101" s="41" t="n"/>
      <c r="D101" s="41" t="n"/>
      <c r="E101" s="41" t="n"/>
      <c r="F101" s="41" t="n"/>
      <c r="G101" s="41" t="n"/>
      <c r="H101" s="41" t="n"/>
      <c r="I101" s="41" t="n"/>
    </row>
    <row r="102">
      <c r="B102" s="5" t="inlineStr">
        <is>
          <t>Case</t>
        </is>
      </c>
      <c r="D102" s="35" t="inlineStr">
        <is>
          <t>Per-capita FY30</t>
        </is>
      </c>
      <c r="E102" s="35" t="inlineStr">
        <is>
          <t>Consumption FY30 (M doz)</t>
        </is>
      </c>
      <c r="F102" s="35" t="inlineStr">
        <is>
          <t>Market rev FY30 (NZ$M)</t>
        </is>
      </c>
      <c r="G102" s="35" t="inlineStr">
        <is>
          <t>Market rev FY30 (US$M)</t>
        </is>
      </c>
      <c r="H102" s="35" t="inlineStr">
        <is>
          <t>vs central</t>
        </is>
      </c>
    </row>
    <row r="103">
      <c r="B103" s="14" t="inlineStr">
        <is>
          <t>Conservative - EPF flat (lagging stats page)</t>
        </is>
      </c>
      <c r="D103" s="29">
        <f>'Assumptions'!$D$35</f>
        <v/>
      </c>
      <c r="E103" s="29">
        <f>D103*'Assumptions'!$D$29*(1+'Assumptions'!$D$30)^6/'Assumptions'!$D$41</f>
        <v/>
      </c>
      <c r="F103" s="30">
        <f>E103/'Forecast_FY26_30'!$H$17*'Forecast_FY26_30'!$H$40</f>
        <v/>
      </c>
      <c r="G103" s="29">
        <f>F103*'Assumptions'!$D$23</f>
        <v/>
      </c>
      <c r="H103" s="42">
        <f>F103/'Forecast_FY26_30'!$H$40-1</f>
        <v/>
      </c>
      <c r="I103" s="3" t="inlineStr">
        <is>
          <t>EPF 229 held flat - the association page lags 2-4 years; conservative bound</t>
        </is>
      </c>
    </row>
    <row r="104">
      <c r="B104" s="5" t="inlineStr">
        <is>
          <t>CENTRAL - ACII Wave 11 projection</t>
        </is>
      </c>
      <c r="D104" s="29">
        <f>'Assumptions'!$H$34</f>
        <v/>
      </c>
      <c r="E104" s="29">
        <f>D104*'Assumptions'!$D$29*(1+'Assumptions'!$D$30)^6/'Assumptions'!$D$41</f>
        <v/>
      </c>
      <c r="F104" s="30">
        <f>E104/'Forecast_FY26_30'!$H$17*'Forecast_FY26_30'!$H$40</f>
        <v/>
      </c>
      <c r="G104" s="29">
        <f>F104*'Assumptions'!$D$23</f>
        <v/>
      </c>
      <c r="H104" s="42">
        <f>F104/'Forecast_FY26_30'!$H$40-1</f>
        <v/>
      </c>
      <c r="I104" s="3" t="inlineStr">
        <is>
          <t>Dietary-mix drift +0.4-0.5% pa (flexitarian 21.4% and rising; eggs net beneficiary)</t>
        </is>
      </c>
    </row>
    <row r="105">
      <c r="B105" s="14" t="inlineStr">
        <is>
          <t>Broker / IM claim (+1.5-2.0% pa) - NOT SUPPORTED</t>
        </is>
      </c>
      <c r="D105" s="29">
        <f>'Assumptions'!$D$33*(1+'Assumptions'!$D$36)^5</f>
        <v/>
      </c>
      <c r="E105" s="29">
        <f>D105*'Assumptions'!$D$29*(1+'Assumptions'!$D$30)^6/'Assumptions'!$D$41</f>
        <v/>
      </c>
      <c r="F105" s="30">
        <f>E105/'Forecast_FY26_30'!$H$17*'Forecast_FY26_30'!$H$40</f>
        <v/>
      </c>
      <c r="G105" s="29">
        <f>F105*'Assumptions'!$D$23</f>
        <v/>
      </c>
      <c r="H105" s="42">
        <f>F105/'Forecast_FY26_30'!$H$40-1</f>
        <v/>
      </c>
      <c r="I105" s="3" t="inlineStr">
        <is>
          <t>IM s.3(b); ~4-5x the survey-supported drift</t>
        </is>
      </c>
    </row>
    <row r="106">
      <c r="B106" s="14" t="inlineStr">
        <is>
          <t>Breakeven - per-capita growth required to validate the broker +7% pa revenue case</t>
        </is>
      </c>
      <c r="D106" s="36">
        <f>(1.07/(('Forecast_FY26_30'!$H$38/'Forecast_FY26_30'!$D$38)^0.25))-1-'Assumptions'!$D$30</f>
        <v/>
      </c>
      <c r="I106" s="10" t="inlineStr">
        <is>
          <t>Given the central price/mix path, the +7% pa revenue trajectory needs ~+2.2% pa per-capita growth - ~5x the ACII-supported +0.4-0.5%. The broker demand case fails this breakeven; surfaced for IC.</t>
        </is>
      </c>
    </row>
    <row r="107"/>
    <row r="108">
      <c r="B108" s="41" t="inlineStr">
        <is>
          <t>6b.  Plant-based egg substitution (phased FY28-30; trigger = chilled plant-based SKU on the egg shelf at a major)</t>
        </is>
      </c>
      <c r="C108" s="41" t="n"/>
      <c r="D108" s="41" t="n"/>
      <c r="E108" s="41" t="n"/>
      <c r="F108" s="41" t="n"/>
      <c r="G108" s="41" t="n"/>
      <c r="H108" s="41" t="n"/>
      <c r="I108" s="41" t="n"/>
    </row>
    <row r="109">
      <c r="B109" s="5" t="inlineStr">
        <is>
          <t>Case</t>
        </is>
      </c>
      <c r="D109" s="35" t="inlineStr">
        <is>
          <t>Displacement by FY30</t>
        </is>
      </c>
      <c r="E109" s="35" t="inlineStr">
        <is>
          <t>Volume FY30 (M doz)</t>
        </is>
      </c>
      <c r="F109" s="35" t="inlineStr">
        <is>
          <t>Market rev FY30 (NZ$M)</t>
        </is>
      </c>
      <c r="G109" s="35" t="inlineStr">
        <is>
          <t>US$M</t>
        </is>
      </c>
      <c r="H109" s="35" t="inlineStr">
        <is>
          <t>vs central</t>
        </is>
      </c>
    </row>
    <row r="110">
      <c r="B110" s="14" t="inlineStr">
        <is>
          <t>No displacement (current state: &lt;1% of category)</t>
        </is>
      </c>
      <c r="D110" s="31">
        <f>0</f>
        <v/>
      </c>
      <c r="E110" s="30">
        <f>'Forecast_FY26_30'!$H$39*(1-D110)</f>
        <v/>
      </c>
      <c r="F110" s="30">
        <f>'Forecast_FY26_30'!$H$40*(1-D110)</f>
        <v/>
      </c>
      <c r="G110" s="29">
        <f>F110*'Assumptions'!$D$23</f>
        <v/>
      </c>
      <c r="H110" s="42">
        <f>-D110</f>
        <v/>
      </c>
      <c r="I110" s="3" t="inlineStr">
        <is>
          <t>Plant-based &lt;1% of NZ egg-equivalent demand today; trial-to-regular conversion ~1%</t>
        </is>
      </c>
    </row>
    <row r="111">
      <c r="B111" s="14" t="inlineStr">
        <is>
          <t>ACII low (-1.5% of volume by FY30)</t>
        </is>
      </c>
      <c r="D111" s="36">
        <f>'Assumptions'!$E$39</f>
        <v/>
      </c>
      <c r="E111" s="30">
        <f>'Forecast_FY26_30'!$H$39*(1-D111)</f>
        <v/>
      </c>
      <c r="F111" s="30">
        <f>'Forecast_FY26_30'!$H$40*(1-D111)</f>
        <v/>
      </c>
      <c r="G111" s="29">
        <f>F111*'Assumptions'!$D$23</f>
        <v/>
      </c>
      <c r="H111" s="42">
        <f>-D111</f>
        <v/>
      </c>
      <c r="I111" s="3" t="inlineStr">
        <is>
          <t>NZ lags AU assortment by 18-30 months</t>
        </is>
      </c>
    </row>
    <row r="112">
      <c r="B112" s="14" t="inlineStr">
        <is>
          <t>ACII high (-2.5% of volume by FY30)</t>
        </is>
      </c>
      <c r="D112" s="36">
        <f>'Assumptions'!$F$39</f>
        <v/>
      </c>
      <c r="E112" s="30">
        <f>'Forecast_FY26_30'!$H$39*(1-D112)</f>
        <v/>
      </c>
      <c r="F112" s="30">
        <f>'Forecast_FY26_30'!$H$40*(1-D112)</f>
        <v/>
      </c>
      <c r="G112" s="29">
        <f>F112*'Assumptions'!$D$23</f>
        <v/>
      </c>
      <c r="H112" s="42">
        <f>-D112</f>
        <v/>
      </c>
      <c r="I112" s="3" t="inlineStr">
        <is>
          <t>Watch-signal risk case; concentrated in the flexitarian cohort</t>
        </is>
      </c>
    </row>
    <row r="113">
      <c r="B113" s="14" t="inlineStr">
        <is>
          <t>Breakeven / trigger</t>
        </is>
      </c>
      <c r="D113" s="3" t="inlineStr">
        <is>
          <t>Assortment event</t>
        </is>
      </c>
      <c r="I113" s="10" t="inlineStr">
        <is>
          <t>Displacement stays near zero until Foodstuffs or Woolworths NZ ranges a chilled plant-based egg on the shell-egg shelf (Calthorpe Part 5 [00:06:02]); NZ-Made provenance (#2 purchase driver) partially shields the category. Monitor quarterly.</t>
        </is>
      </c>
    </row>
    <row r="114"/>
    <row r="115">
      <c r="B115" s="41" t="inlineStr">
        <is>
          <t>6c.  Cost-of-living trade-down (FR -&gt; barn mix stress at FY28, S1 pricing)</t>
        </is>
      </c>
      <c r="C115" s="41" t="n"/>
      <c r="D115" s="41" t="n"/>
      <c r="E115" s="41" t="n"/>
      <c r="F115" s="41" t="n"/>
      <c r="G115" s="41" t="n"/>
      <c r="H115" s="41" t="n"/>
      <c r="I115" s="41" t="n"/>
    </row>
    <row r="116">
      <c r="B116" s="14" t="inlineStr">
        <is>
          <t>Stress: 5pp of system volume shifts FR -&gt; barn in FY28 (revenue effect)</t>
        </is>
      </c>
      <c r="D116" s="43">
        <f>-0.05*('Forecast_FY26_30'!$F$33*(1+'Assumptions'!$F$177)-'Forecast_FY26_30'!$F$33)*'Forecast_FY26_30'!$D$37*'Forecast_FY26_30'!$F$39</f>
        <v/>
      </c>
      <c r="I116" s="3" t="inlineStr">
        <is>
          <t>NZ$M revenue reduction: 21% of FR buyers actually switch under a NZ$30/wk budget squeeze (ACII addendum s.2) - modelled as a partial-incidence 5pp mix stress; mix-down also drags the achievable premium (reinforces S3).</t>
        </is>
      </c>
    </row>
    <row r="117">
      <c r="B117" s="14" t="inlineStr">
        <is>
          <t xml:space="preserve">  as % of FY28 central market revenue</t>
        </is>
      </c>
      <c r="D117" s="42">
        <f>D116/'Forecast_FY26_30'!$F$40</f>
        <v/>
      </c>
      <c r="I117" s="3" t="inlineStr">
        <is>
          <t>Modest at market level (~-0.6%) but concentrated on FR-long producers; Aurora FR book = 30% of flock at the cost-of-living-exposed commodity tier.</t>
        </is>
      </c>
    </row>
  </sheetData>
  <mergeCells count="4">
    <mergeCell ref="B46:I46"/>
    <mergeCell ref="B65:I65"/>
    <mergeCell ref="A2:I2"/>
    <mergeCell ref="B26:I2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C55A11"/>
    <outlinePr summaryBelow="1" summaryRight="1"/>
    <pageSetUpPr/>
  </sheetPr>
  <dimension ref="A1:I1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" customWidth="1" min="1" max="1"/>
    <col width="54" customWidth="1" min="2" max="2"/>
    <col width="14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76" customWidth="1" min="9" max="9"/>
  </cols>
  <sheetData>
    <row r="1">
      <c r="A1" s="1" t="inlineStr">
        <is>
          <t>CAGE-BAN TRANSITION - COLONY COHORT SCENARIOS TO END-2027 &amp; SENSITIVITIES</t>
        </is>
      </c>
    </row>
    <row r="2" ht="30" customHeight="1">
      <c r="A2" s="3" t="inlineStr">
        <is>
          <t>The end-2027 deadline is FIXED - a retailer-led commitment by Foodstuffs (NI+SI) and Woolworths NZ covering ~70-80% of grocery volume, not a regulation; it cannot slip without both groups publicly walking back (Vivian, Slack 4 May). Scenarios therefore vary HOW the colony cohort moves, never the date. No grace period: colony product is de-listed from packaged shelves on 1 Jan 2028 (Calthorpe Part 3 [00:30:38]). USD headline / NZD side-by-side.</t>
        </is>
      </c>
    </row>
    <row r="3"/>
    <row r="4">
      <c r="A4" s="4" t="inlineStr">
        <is>
          <t>HEADLINE OUTPUTS</t>
        </is>
      </c>
      <c r="B4" s="4" t="n"/>
      <c r="C4" s="4" t="n"/>
      <c r="D4" s="4" t="n"/>
      <c r="E4" s="4" t="n"/>
      <c r="F4" s="4" t="n"/>
      <c r="G4" s="4" t="n"/>
      <c r="H4" s="4" t="n"/>
      <c r="I4" s="4" t="n"/>
    </row>
    <row r="5">
      <c r="B5" s="39" t="inlineStr">
        <is>
          <t>Colony cohort - hens that must move by end-2027</t>
        </is>
      </c>
      <c r="E5" s="44">
        <f>'Transition_Scenarios'!$D$15</f>
        <v/>
      </c>
      <c r="F5" s="45">
        <f>'Assumptions'!$D$56</f>
        <v/>
      </c>
    </row>
    <row r="6">
      <c r="B6" s="39" t="inlineStr">
        <is>
          <t>Aurora colony exposure</t>
        </is>
      </c>
      <c r="E6" s="46">
        <f>'Assumptions'!$D$120*'Assumptions'!$D$121/1000</f>
        <v/>
      </c>
      <c r="F6" s="47">
        <f>'Assumptions'!$D$120*'Assumptions'!$D$121/('Assumptions'!$D$49*'Assumptions'!$D$56)/1000000</f>
        <v/>
      </c>
    </row>
    <row r="7">
      <c r="B7" s="39" t="inlineStr">
        <is>
          <t>Aurora conversion capex - expert-anchored (vs broker NZ$8-10M)</t>
        </is>
      </c>
      <c r="E7" s="48">
        <f>'Transition_Scenarios'!$D$47*'Assumptions'!$E$141/1000000</f>
        <v/>
      </c>
      <c r="F7" s="49">
        <f>'Transition_Scenarios'!$D$47*'Assumptions'!$F$141/1000000</f>
        <v/>
      </c>
    </row>
    <row r="8">
      <c r="B8" s="39" t="inlineStr">
        <is>
          <t>Aurora EBITDA-at-risk per year of slippage</t>
        </is>
      </c>
      <c r="E8" s="50">
        <f>'Assumptions'!$D$149</f>
        <v/>
      </c>
      <c r="F8" s="51">
        <f>'Assumptions'!$D$149*'Assumptions'!$D$21</f>
        <v/>
      </c>
    </row>
    <row r="9">
      <c r="B9" s="39" t="inlineStr">
        <is>
          <t>FY28 market revenue span across scenarios (S3 low / S2 high)</t>
        </is>
      </c>
      <c r="E9" s="52">
        <f>'Forecast_FY26_30'!$F$81</f>
        <v/>
      </c>
      <c r="F9" s="52">
        <f>'Forecast_FY26_30'!$F$62</f>
        <v/>
      </c>
    </row>
    <row r="10">
      <c r="B10" s="3" t="inlineStr">
        <is>
          <t>Deadline fixed at 31 Dec 2027 (retailer pledge); 19 months out at model date. Breakeven lodgement window has already closed on a start-now basis (T3).</t>
        </is>
      </c>
    </row>
    <row r="11"/>
    <row r="12">
      <c r="A12" s="4" t="inlineStr">
        <is>
          <t>A.  THE COLONY COHORT - WHO MUST MOVE BY END-2027</t>
        </is>
      </c>
      <c r="B12" s="4" t="n"/>
      <c r="C12" s="4" t="n"/>
      <c r="D12" s="4" t="n"/>
      <c r="E12" s="4" t="n"/>
      <c r="F12" s="4" t="n"/>
      <c r="G12" s="4" t="n"/>
      <c r="H12" s="4" t="n"/>
      <c r="I12" s="4" t="n"/>
    </row>
    <row r="13">
      <c r="B13" s="14" t="inlineStr">
        <is>
          <t>National layer flock, FY26 central</t>
        </is>
      </c>
      <c r="C13" s="14" t="inlineStr">
        <is>
          <t>M hens</t>
        </is>
      </c>
      <c r="D13" s="26">
        <f>'Assumptions'!$D$49</f>
        <v/>
      </c>
    </row>
    <row r="14">
      <c r="B14" s="14" t="inlineStr">
        <is>
          <t>Colony share of flock, FY26 current-era</t>
        </is>
      </c>
      <c r="C14" s="14" t="inlineStr">
        <is>
          <t>% flock</t>
        </is>
      </c>
      <c r="D14" s="33">
        <f>'Assumptions'!$D$56</f>
        <v/>
      </c>
      <c r="I14" s="3" t="inlineStr">
        <is>
          <t>40% current-era (Calthorpe P1) vs 33% stale Dec-2022 census - supersession log on Assumptions.</t>
        </is>
      </c>
    </row>
    <row r="15">
      <c r="B15" s="5" t="inlineStr">
        <is>
          <t>COLONY COHORT - hens that must convert or exit</t>
        </is>
      </c>
      <c r="C15" s="14" t="inlineStr">
        <is>
          <t>M hens</t>
        </is>
      </c>
      <c r="D15" s="26">
        <f>'Assumptions'!$D$49*'Assumptions'!$D$56</f>
        <v/>
      </c>
      <c r="I15" s="3" t="inlineStr">
        <is>
          <t>~1.5M hens. Phase 2 queues ~2.5 years of conversion demand into an 18-month window (Part 2 [00:05:18]).</t>
        </is>
      </c>
    </row>
    <row r="16">
      <c r="B16" s="14" t="inlineStr">
        <is>
          <t>Colony production at risk of de-listing</t>
        </is>
      </c>
      <c r="C16" s="14" t="inlineStr">
        <is>
          <t>M dozen / NZ$M</t>
        </is>
      </c>
      <c r="D16" s="29">
        <f>'Transition_Scenarios'!$D$15*'Assumptions'!$D$50*'Assumptions'!$D$51/'Assumptions'!$D$41</f>
        <v/>
      </c>
      <c r="E16" s="29">
        <f>D16*'Assumptions'!$D$103</f>
        <v/>
      </c>
      <c r="I16" s="3" t="inlineStr">
        <is>
          <t>~33.8M doz; ~NZ$115M at colony gate - the volume that must re-house into barn/FR economics (or exit).</t>
        </is>
      </c>
    </row>
    <row r="17"/>
    <row r="18">
      <c r="B18" s="5" t="inlineStr">
        <is>
          <t>Colony exposure by producer (FY26):</t>
        </is>
      </c>
      <c r="D18" s="35" t="inlineStr">
        <is>
          <t>Hens (M)</t>
        </is>
      </c>
      <c r="E18" s="35" t="inlineStr">
        <is>
          <t>Cage-free %</t>
        </is>
      </c>
      <c r="F18" s="35" t="inlineStr">
        <is>
          <t>Colony hens (M)</t>
        </is>
      </c>
      <c r="G18" s="35" t="inlineStr">
        <is>
          <t>% of cohort</t>
        </is>
      </c>
    </row>
    <row r="19">
      <c r="B19" s="14" t="inlineStr">
        <is>
          <t>Mainland Poultry (PEP)</t>
        </is>
      </c>
      <c r="D19" s="26">
        <f>'Assumptions'!$D$58*'Assumptions'!$D$49</f>
        <v/>
      </c>
      <c r="E19" s="33">
        <f>'Assumptions'!$D$71</f>
        <v/>
      </c>
      <c r="F19" s="28">
        <f>D19*(1-E19)</f>
        <v/>
      </c>
      <c r="G19" s="37">
        <f>F19/'Transition_Scenarios'!$D$15</f>
        <v/>
      </c>
    </row>
    <row r="20">
      <c r="B20" s="5" t="inlineStr">
        <is>
          <t>AURORA EGGS</t>
        </is>
      </c>
      <c r="D20" s="26">
        <f>'Assumptions'!$D$120/1000000</f>
        <v/>
      </c>
      <c r="E20" s="33">
        <f>'Assumptions'!$D$76</f>
        <v/>
      </c>
      <c r="F20" s="28">
        <f>D20*(1-E20)</f>
        <v/>
      </c>
      <c r="G20" s="37">
        <f>F20/'Transition_Scenarios'!$D$15</f>
        <v/>
      </c>
      <c r="I20" s="3" t="inlineStr">
        <is>
          <t>Actual flock 610k used (broker); share-implied would be 675k - triangulation spread surfaced on Historical tab. Largest single colony block of the named six.</t>
        </is>
      </c>
    </row>
    <row r="21">
      <c r="B21" s="14" t="inlineStr">
        <is>
          <t>Heyden Farms</t>
        </is>
      </c>
      <c r="D21" s="26">
        <f>'Assumptions'!$D$60*'Assumptions'!$D$49</f>
        <v/>
      </c>
      <c r="E21" s="33">
        <f>'Assumptions'!$D$72</f>
        <v/>
      </c>
      <c r="F21" s="28">
        <f>D21*(1-E21)</f>
        <v/>
      </c>
      <c r="G21" s="37">
        <f>F21/'Transition_Scenarios'!$D$15</f>
        <v/>
      </c>
    </row>
    <row r="22">
      <c r="B22" s="14" t="inlineStr">
        <is>
          <t>Better Eggs</t>
        </is>
      </c>
      <c r="D22" s="26">
        <f>'Assumptions'!$D$61*'Assumptions'!$D$49</f>
        <v/>
      </c>
      <c r="E22" s="33">
        <f>'Assumptions'!$D$73</f>
        <v/>
      </c>
      <c r="F22" s="28">
        <f>D22*(1-E22)</f>
        <v/>
      </c>
      <c r="G22" s="37">
        <f>F22/'Transition_Scenarios'!$D$15</f>
        <v/>
      </c>
    </row>
    <row r="23">
      <c r="B23" s="14" t="inlineStr">
        <is>
          <t>Zeagold Foods</t>
        </is>
      </c>
      <c r="D23" s="26">
        <f>'Assumptions'!$D$62*'Assumptions'!$D$49</f>
        <v/>
      </c>
      <c r="E23" s="33">
        <f>'Assumptions'!$D$74</f>
        <v/>
      </c>
      <c r="F23" s="28">
        <f>D23*(1-E23)</f>
        <v/>
      </c>
      <c r="G23" s="37">
        <f>F23/'Transition_Scenarios'!$D$15</f>
        <v/>
      </c>
    </row>
    <row r="24">
      <c r="B24" s="14" t="inlineStr">
        <is>
          <t>Henergy Cage Free</t>
        </is>
      </c>
      <c r="D24" s="26">
        <f>'Assumptions'!$D$63*'Assumptions'!$D$49</f>
        <v/>
      </c>
      <c r="E24" s="33">
        <f>'Assumptions'!$D$75</f>
        <v/>
      </c>
      <c r="F24" s="28">
        <f>D24*(1-E24)</f>
        <v/>
      </c>
      <c r="G24" s="37">
        <f>F24/'Transition_Scenarios'!$D$15</f>
        <v/>
      </c>
    </row>
    <row r="25">
      <c r="B25" s="14" t="inlineStr">
        <is>
          <t>Long tail / specialty (residual)</t>
        </is>
      </c>
      <c r="D25" s="26">
        <f>'Assumptions'!$D$64*'Assumptions'!$D$49</f>
        <v/>
      </c>
      <c r="E25" s="37">
        <f>1-F25/D25</f>
        <v/>
      </c>
      <c r="F25" s="28">
        <f>'Transition_Scenarios'!$D$15-SUM(F19:F24)</f>
        <v/>
      </c>
      <c r="G25" s="37">
        <f>F25/'Transition_Scenarios'!$D$15</f>
        <v/>
      </c>
      <c r="I25" s="3" t="inlineStr">
        <is>
          <t>Residual ~0.65M colony hens across ~25-30 sub-50k operators (~25k avg - matches Marsden / Part 2 exactly) + specialty FR cohort 150-200k birds. Capex does not pencil sub-50k: 6-10 exits expected by FY28 -&gt; share redistributes to converters.</t>
        </is>
      </c>
    </row>
    <row r="26">
      <c r="B26" s="5" t="inlineStr">
        <is>
          <t>Total colony cohort</t>
        </is>
      </c>
      <c r="F26" s="28">
        <f>SUM(F19:F25)</f>
        <v/>
      </c>
      <c r="G26" s="37">
        <f>F26/'Transition_Scenarios'!$D$15</f>
        <v/>
      </c>
    </row>
    <row r="27"/>
    <row r="28">
      <c r="A28" s="4" t="inlineStr">
        <is>
          <t>B.  THREE NAMED SCENARIOS - SUMMARY, CONSEQUENCES &amp; BREAKEVEN BOUNDARIES  (full pricing mechanics on Forecast tab s.3)</t>
        </is>
      </c>
      <c r="B28" s="4" t="n"/>
      <c r="C28" s="4" t="n"/>
      <c r="D28" s="4" t="n"/>
      <c r="E28" s="4" t="n"/>
      <c r="F28" s="4" t="n"/>
      <c r="G28" s="4" t="n"/>
      <c r="H28" s="4" t="n"/>
      <c r="I28" s="4" t="n"/>
    </row>
    <row r="29">
      <c r="B29" s="5" t="inlineStr">
        <is>
          <t>Metric</t>
        </is>
      </c>
      <c r="D29" s="53" t="inlineStr">
        <is>
          <t>S1 MANAGED CONVERSION (central)</t>
        </is>
      </c>
      <c r="E29" s="53" t="inlineStr">
        <is>
          <t>S2 CAPACITY GAP</t>
        </is>
      </c>
      <c r="F29" s="53" t="inlineStr">
        <is>
          <t>S3 PREMIUM COLLAPSE</t>
        </is>
      </c>
      <c r="I29" s="3" t="inlineStr">
        <is>
          <t>Scenario architecture per Vivian (Slack 4 May): deadline fixed; the colony cohort path varies.</t>
        </is>
      </c>
    </row>
    <row r="30" ht="52" customHeight="1">
      <c r="B30" s="2" t="inlineStr">
        <is>
          <t>Driver (mechanic that differs)</t>
        </is>
      </c>
      <c r="D30" s="3" t="inlineStr">
        <is>
          <t>Consents, DOC supply and equipment land on schedule; long-tail exits orderly.</t>
        </is>
      </c>
      <c r="E30" s="3" t="inlineStr">
        <is>
          <t>DOC waitlists re-tighten to 6-9 mo; notified consents 9-12 mo; equipment queue binds; conversions lag the deadline.</t>
        </is>
      </c>
      <c r="F30" s="3" t="inlineStr">
        <is>
          <t>Conversion overshoots into barn; cost-of-living trade-down (21% of FR buyers switch) lands at the same time.</t>
        </is>
      </c>
    </row>
    <row r="31">
      <c r="B31" s="2" t="inlineStr">
        <is>
          <t>Colony cohort converted by 31 Dec 2027</t>
        </is>
      </c>
      <c r="C31" s="14" t="inlineStr">
        <is>
          <t>% cohort</t>
        </is>
      </c>
      <c r="D31" s="33">
        <f>'Assumptions'!$D$192</f>
        <v/>
      </c>
      <c r="E31" s="33">
        <f>'Assumptions'!$D$193</f>
        <v/>
      </c>
      <c r="F31" s="33">
        <f>'Assumptions'!$D$194</f>
        <v/>
      </c>
    </row>
    <row r="32">
      <c r="B32" s="2" t="inlineStr">
        <is>
          <t>Colony share of flock, FY28</t>
        </is>
      </c>
      <c r="C32" s="14" t="inlineStr">
        <is>
          <t>% flock</t>
        </is>
      </c>
      <c r="D32" s="33">
        <f>'Assumptions'!$F$174</f>
        <v/>
      </c>
      <c r="E32" s="33">
        <f>'Assumptions'!$F$180</f>
        <v/>
      </c>
      <c r="F32" s="33">
        <f>'Assumptions'!$F$186</f>
        <v/>
      </c>
    </row>
    <row r="33">
      <c r="B33" s="2" t="inlineStr">
        <is>
          <t>FR premium over barn, FY28</t>
        </is>
      </c>
      <c r="C33" s="14" t="inlineStr">
        <is>
          <t>%</t>
        </is>
      </c>
      <c r="D33" s="36">
        <f>'Assumptions'!$F$177</f>
        <v/>
      </c>
      <c r="E33" s="36">
        <f>'Assumptions'!$F$183</f>
        <v/>
      </c>
      <c r="F33" s="36">
        <f>'Assumptions'!$F$189</f>
        <v/>
      </c>
    </row>
    <row r="34">
      <c r="B34" s="2" t="inlineStr">
        <is>
          <t>Cage-free gate adjustment, FY28</t>
        </is>
      </c>
      <c r="C34" s="14" t="inlineStr">
        <is>
          <t>%</t>
        </is>
      </c>
      <c r="D34" s="54">
        <f>'Assumptions'!$F$178</f>
        <v/>
      </c>
      <c r="E34" s="54">
        <f>'Assumptions'!$F$184</f>
        <v/>
      </c>
      <c r="F34" s="54">
        <f>'Assumptions'!$F$190</f>
        <v/>
      </c>
    </row>
    <row r="35">
      <c r="B35" s="2" t="inlineStr">
        <is>
          <t>Supply adjustment, FY28</t>
        </is>
      </c>
      <c r="C35" s="14" t="inlineStr">
        <is>
          <t>% volume</t>
        </is>
      </c>
      <c r="D35" s="54">
        <f>'Assumptions'!$F$179</f>
        <v/>
      </c>
      <c r="E35" s="54">
        <f>'Assumptions'!$F$185</f>
        <v/>
      </c>
      <c r="F35" s="54">
        <f>'Assumptions'!$F$191</f>
        <v/>
      </c>
    </row>
    <row r="36">
      <c r="B36" s="2" t="inlineStr">
        <is>
          <t>Market revenue FY28</t>
        </is>
      </c>
      <c r="C36" s="14" t="inlineStr">
        <is>
          <t>NZ$M</t>
        </is>
      </c>
      <c r="D36" s="29">
        <f>'Forecast_FY26_30'!$F$40</f>
        <v/>
      </c>
      <c r="E36" s="29">
        <f>'Forecast_FY26_30'!$F$59</f>
        <v/>
      </c>
      <c r="F36" s="29">
        <f>'Forecast_FY26_30'!$F$78</f>
        <v/>
      </c>
    </row>
    <row r="37">
      <c r="B37" s="2" t="inlineStr">
        <is>
          <t>Market revenue FY28</t>
        </is>
      </c>
      <c r="C37" s="14" t="inlineStr">
        <is>
          <t>US$M</t>
        </is>
      </c>
      <c r="D37" s="29">
        <f>'Forecast_FY26_30'!$F$43</f>
        <v/>
      </c>
      <c r="E37" s="29">
        <f>'Forecast_FY26_30'!$F$62</f>
        <v/>
      </c>
      <c r="F37" s="29">
        <f>'Forecast_FY26_30'!$F$81</f>
        <v/>
      </c>
    </row>
    <row r="38">
      <c r="B38" s="2" t="inlineStr">
        <is>
          <t>Market revenue FY30</t>
        </is>
      </c>
      <c r="C38" s="14" t="inlineStr">
        <is>
          <t>US$M</t>
        </is>
      </c>
      <c r="D38" s="29">
        <f>'Forecast_FY26_30'!$H$43</f>
        <v/>
      </c>
      <c r="E38" s="29">
        <f>'Forecast_FY26_30'!$H$62</f>
        <v/>
      </c>
      <c r="F38" s="29">
        <f>'Forecast_FY26_30'!$H$81</f>
        <v/>
      </c>
    </row>
    <row r="39">
      <c r="B39" s="2" t="inlineStr">
        <is>
          <t>FY28 revenue vs central</t>
        </is>
      </c>
      <c r="C39" s="14" t="inlineStr">
        <is>
          <t>%</t>
        </is>
      </c>
      <c r="D39" s="55">
        <f>0</f>
        <v/>
      </c>
      <c r="E39" s="54">
        <f>'Forecast_FY26_30'!$F$59/'Forecast_FY26_30'!$F$40-1</f>
        <v/>
      </c>
      <c r="F39" s="54">
        <f>'Forecast_FY26_30'!$F$78/'Forecast_FY26_30'!$F$40-1</f>
        <v/>
      </c>
    </row>
    <row r="40" ht="52" customHeight="1">
      <c r="B40" s="2" t="inlineStr">
        <is>
          <t>Consequence (what changes)</t>
        </is>
      </c>
      <c r="D40" s="3" t="inlineStr">
        <is>
          <t>Category value grows on mix uplift as the cheapest tier exits retail; converters (incl. Aurora, if on time) hold share; premium settles ~12%.</t>
        </is>
      </c>
      <c r="E40" s="3" t="inlineStr">
        <is>
          <t>Market revenue holds UP on tight pricing (+8% cage-free gates, 12-18 mo) but laggards eat the downside: stranded colony volume to industrial clearance at ~NZ$0.30/egg; AU imports take the value tier; premium holds ~14.5%.</t>
        </is>
      </c>
      <c r="F40" s="3" t="inlineStr">
        <is>
          <t>Category revenue ~5% below central by FY28; FR-long producers (Aurora: 30% FR book at commodity tier) bear margin compression; colony+FR two-sided squeeze.</t>
        </is>
      </c>
    </row>
    <row r="41"/>
    <row r="42">
      <c r="B42" s="5" t="inlineStr">
        <is>
          <t>Breakeven boundaries (what flips the scenario):</t>
        </is>
      </c>
    </row>
    <row r="43">
      <c r="B43" s="14" t="inlineStr">
        <is>
          <t>S1 -&gt; S2 boundary: cohort conversion completed by deadline falls below ~90%</t>
        </is>
      </c>
      <c r="D43" s="33">
        <f>('Assumptions'!$D$192+'Assumptions'!$D$193)/2</f>
        <v/>
      </c>
      <c r="I43" s="10" t="inlineStr">
        <is>
          <t>Binding constraints: consents lodged by ~Q2 2026 (non-notified path - see block C) AND DOC ordered &gt;=7.5 months ahead AND equipment slot held. Any one failing tips the named-producer laggards (Aurora, Heyden) into the gap.</t>
        </is>
      </c>
    </row>
    <row r="44">
      <c r="B44" s="14" t="inlineStr">
        <is>
          <t>S1 -&gt; S3 boundary: barn net additions overrun colony withdrawal + demand growth (~+1.4% pa)</t>
        </is>
      </c>
      <c r="D44" s="36">
        <f>('Assumptions'!$F$177+'Assumptions'!$F$189)/2</f>
        <v/>
      </c>
      <c r="I44" s="10" t="inlineStr">
        <is>
          <t>FY28 premium below ~10.5% signals collapse territory. The central 12% holds ONLY because 6-10 long-tail exits remove marginal supply - without that, FY28 premium would print 9-10% (Calthorpe Part 3 [00:31:58]). Track quarterly via scan-data FR-vs-barn shelf spread / 1.435.</t>
        </is>
      </c>
    </row>
    <row r="45"/>
    <row r="46">
      <c r="A46" s="4" t="inlineStr">
        <is>
          <t>C.  AURORA COLONY-TO-BARN PROGRAMME - CAPEX &amp; TIMELINE BRIDGE  (the deal-defining variable; Vivian must-test #2)</t>
        </is>
      </c>
      <c r="B46" s="4" t="n"/>
      <c r="C46" s="4" t="n"/>
      <c r="D46" s="4" t="n"/>
      <c r="E46" s="4" t="n"/>
      <c r="F46" s="4" t="n"/>
      <c r="G46" s="4" t="n"/>
      <c r="H46" s="4" t="n"/>
      <c r="I46" s="4" t="n"/>
    </row>
    <row r="47">
      <c r="B47" s="14" t="inlineStr">
        <is>
          <t>Aurora colony birds to convert</t>
        </is>
      </c>
      <c r="C47" s="14" t="inlineStr">
        <is>
          <t>birds</t>
        </is>
      </c>
      <c r="D47" s="27">
        <f>'Assumptions'!$D$120*'Assumptions'!$D$121</f>
        <v/>
      </c>
      <c r="I47" s="3" t="inlineStr">
        <is>
          <t>610k x 40% = ~244k birds (Calthorpe worked 240-244k).</t>
        </is>
      </c>
    </row>
    <row r="48">
      <c r="B48" s="14" t="inlineStr">
        <is>
          <t>Conversion capex - expert-anchored range</t>
        </is>
      </c>
      <c r="C48" s="14" t="inlineStr">
        <is>
          <t>NZ$M</t>
        </is>
      </c>
      <c r="D48" s="29">
        <f>'Transition_Scenarios'!$D$47*'Assumptions'!$E$141/1000000</f>
        <v/>
      </c>
      <c r="E48" s="29">
        <f>'Transition_Scenarios'!$D$47*'Assumptions'!$D$141/1000000</f>
        <v/>
      </c>
      <c r="F48" s="29">
        <f>'Transition_Scenarios'!$D$47*'Assumptions'!$F$141/1000000</f>
        <v/>
      </c>
      <c r="G48" s="56" t="inlineStr">
        <is>
          <t>low / mid / high</t>
        </is>
      </c>
      <c r="I48" s="3" t="inlineStr">
        <is>
          <t>NZ$45-65/bird all-in (Part 2; EPF corroborates); Aurora expected mid-range NZ$52-58 given late-2010s shed envelopes.</t>
        </is>
      </c>
    </row>
    <row r="49">
      <c r="B49" s="14" t="inlineStr">
        <is>
          <t>Conversion capex - mid case</t>
        </is>
      </c>
      <c r="C49" s="14" t="inlineStr">
        <is>
          <t>US$M</t>
        </is>
      </c>
      <c r="D49" s="29">
        <f>E48*'Assumptions'!$D$20</f>
        <v/>
      </c>
      <c r="I49" s="3" t="inlineStr">
        <is>
          <t>At FY27 house FX (capex lands FY26-27).</t>
        </is>
      </c>
    </row>
    <row r="50">
      <c r="B50" s="14" t="inlineStr">
        <is>
          <t>Broker / IM capex claim</t>
        </is>
      </c>
      <c r="C50" s="14" t="inlineStr">
        <is>
          <t>NZ$M</t>
        </is>
      </c>
      <c r="D50" s="29">
        <f>'Assumptions'!$E$142</f>
        <v/>
      </c>
      <c r="E50" s="29">
        <f>'Assumptions'!$D$142</f>
        <v/>
      </c>
      <c r="F50" s="29">
        <f>'Assumptions'!$F$142</f>
        <v/>
      </c>
      <c r="G50" s="57">
        <f>E48/'Assumptions'!$D$142-1</f>
        <v/>
      </c>
      <c r="I50" s="10" t="inlineStr">
        <is>
          <t>CONTESTED: IM NZ$8-10M implies NZ$33-41/bird - below any expert/industry anchor. Expert mid sits ~49% above the broker mid. Capex bridge = confirmatory request.</t>
        </is>
      </c>
    </row>
    <row r="51">
      <c r="B51" s="14" t="inlineStr">
        <is>
          <t>Capex mid as multiple of FY24 reported EBITDA</t>
        </is>
      </c>
      <c r="C51" s="14" t="inlineStr">
        <is>
          <t>x</t>
        </is>
      </c>
      <c r="D51" s="8">
        <f>E48/'Assumptions'!$D$129</f>
        <v/>
      </c>
      <c r="I51" s="3" t="inlineStr">
        <is>
          <t>~1.2x EBITDA - fundable (family unlevered, self-funded posture per Part 2 [00:39:24]); the binding constraint is TIME, not capital. Return = continued retail access, not incremental margin - bundle with automation for uplift.</t>
        </is>
      </c>
    </row>
    <row r="52"/>
    <row r="53">
      <c r="B53" s="5" t="inlineStr">
        <is>
          <t>Timeline bridge to 31 Dec 2027:</t>
        </is>
      </c>
    </row>
    <row r="54">
      <c r="B54" s="14" t="inlineStr">
        <is>
          <t>Months remaining (from model date 31 May 2026)</t>
        </is>
      </c>
      <c r="D54" s="7">
        <f>ROUND((DATE(2027,12,31)-DATE(2026,5,31))/30.44,0)</f>
        <v/>
      </c>
      <c r="I54" s="3" t="inlineStr">
        <is>
          <t>19 months.</t>
        </is>
      </c>
    </row>
    <row r="55">
      <c r="B55" s="14" t="inlineStr">
        <is>
          <t>Runway needed - consents non-notified + build (DOC in parallel)</t>
        </is>
      </c>
      <c r="D55" s="27">
        <f>'Assumptions'!$D$144+'Assumptions'!$D$143</f>
        <v/>
      </c>
      <c r="I55" s="3" t="inlineStr">
        <is>
          <t>5 + 15 = 20 months; DOC 6-9 mo and equipment 9-14 mo sit inside the build window only if ordered at consent grant.</t>
        </is>
      </c>
    </row>
    <row r="56">
      <c r="B56" s="14" t="inlineStr">
        <is>
          <t>Runway needed - consents publicly notified + build</t>
        </is>
      </c>
      <c r="D56" s="29">
        <f>'Assumptions'!$D$145+'Assumptions'!$D$143</f>
        <v/>
      </c>
      <c r="I56" s="3" t="inlineStr">
        <is>
          <t>~25.5 months.</t>
        </is>
      </c>
    </row>
    <row r="57">
      <c r="B57" s="5" t="inlineStr">
        <is>
          <t>Slack vs deadline (non-notified / notified)</t>
        </is>
      </c>
      <c r="D57" s="58">
        <f>D54-D55</f>
        <v/>
      </c>
      <c r="E57" s="59">
        <f>D54-D56</f>
        <v/>
      </c>
      <c r="I57" s="10" t="inlineStr">
        <is>
          <t>NEGATIVE on both paths if consents are only being lodged now - a start-today programme cannot complete by end-2027 (Calthorpe: P=~0%). Only a pre-existing (private/pre-lodgement) consent position keeps end-2027 alive at ~50/50.</t>
        </is>
      </c>
    </row>
    <row r="58"/>
    <row r="59">
      <c r="B59" s="5" t="inlineStr">
        <is>
          <t>Consent-lodgement scenarios:</t>
        </is>
      </c>
      <c r="D59" s="35" t="inlineStr">
        <is>
          <t>Completion date</t>
        </is>
      </c>
      <c r="E59" s="35" t="inlineStr">
        <is>
          <t>Slippage (months)</t>
        </is>
      </c>
      <c r="F59" s="35" t="inlineStr">
        <is>
          <t>P(on time)</t>
        </is>
      </c>
      <c r="G59" s="35" t="inlineStr">
        <is>
          <t>EBITDA impact (NZ$M)</t>
        </is>
      </c>
    </row>
    <row r="60">
      <c r="B60" s="2" t="inlineStr">
        <is>
          <t>(a) Lodged on/before Q4 2025 (not visible in public register)</t>
        </is>
      </c>
      <c r="D60" s="60">
        <f>DATE(2027,11,30)</f>
        <v/>
      </c>
      <c r="E60" s="61">
        <f>0</f>
        <v/>
      </c>
      <c r="F60" s="33">
        <f>'Assumptions'!$D$150</f>
        <v/>
      </c>
      <c r="G60" s="8">
        <f>MAX(0,E60)/12*'Assumptions'!$D$149</f>
        <v/>
      </c>
      <c r="I60" s="3" t="inlineStr">
        <is>
          <t>IM claims "consents in active progress; build from Q3 2026" - consistent with (a) but unverified; no lodgement found in Selwyn or Waikato registers as of 11 May 2026.</t>
        </is>
      </c>
    </row>
    <row r="61">
      <c r="B61" s="2" t="inlineStr">
        <is>
          <t>(b) Lodge June 2026, non-notified, best case</t>
        </is>
      </c>
      <c r="D61" s="62">
        <f>EDATE(DATE(2026,6,1),'Assumptions'!$D$144+'Assumptions'!$D$143)</f>
        <v/>
      </c>
      <c r="E61" s="63">
        <f>('Assumptions'!$D$144+'Assumptions'!$D$143)-D54</f>
        <v/>
      </c>
      <c r="F61" s="33">
        <f>'Assumptions'!$D$151</f>
        <v/>
      </c>
      <c r="G61" s="8">
        <f>MAX(0,E61)/12*'Assumptions'!$D$149</f>
        <v/>
      </c>
      <c r="I61" s="3" t="inlineStr">
        <is>
          <t>Feb 2028 at best -&gt; ~1-2 months stranded; assumes zero DOC / equipment queue - optimistic.</t>
        </is>
      </c>
    </row>
    <row r="62">
      <c r="B62" s="2" t="inlineStr">
        <is>
          <t>(c) Lodge June 2026, realistic (DOC tight + equipment queue)</t>
        </is>
      </c>
      <c r="D62" s="60">
        <f>EDATE(DATE(2026,6,1),24)</f>
        <v/>
      </c>
      <c r="E62" s="61">
        <f>24-D54</f>
        <v/>
      </c>
      <c r="F62" s="33">
        <f>'Assumptions'!$D$151</f>
        <v/>
      </c>
      <c r="G62" s="8">
        <f>MAX(0,E62)/12*'Assumptions'!$D$149</f>
        <v/>
      </c>
      <c r="I62" s="3" t="inlineStr">
        <is>
          <t>Calthorpe end-to-end 24-30 months -&gt; mid-to-late 2028; 5-11 months of stranded colony volume.</t>
        </is>
      </c>
    </row>
    <row r="63">
      <c r="B63" s="5" t="inlineStr">
        <is>
          <t>EBITDA-at-risk per year of slippage (stranded-volume math)</t>
        </is>
      </c>
      <c r="C63" s="14" t="inlineStr">
        <is>
          <t>NZ$M/yr</t>
        </is>
      </c>
      <c r="D63" s="29">
        <f>'Assumptions'!$E$149</f>
        <v/>
      </c>
      <c r="E63" s="29">
        <f>'Assumptions'!$D$149</f>
        <v/>
      </c>
      <c r="F63" s="29">
        <f>'Assumptions'!$F$149</f>
        <v/>
      </c>
      <c r="G63" s="33">
        <f>'Assumptions'!$D$149/'Assumptions'!$D$129</f>
        <v/>
      </c>
      <c r="I63" s="3" t="inlineStr">
        <is>
          <t>244k birds ~70M eggs; retail gate ~NZ$0.50/egg -&gt; industrial clearance ~NZ$0.30 = ~NZ$14M revenue, NZ$3-4M EBITDA = ~32% of FY24 EBITDA per slip-year. FS/industrial cannot absorb the displaced volume (Marsden [00:40:20]).</t>
        </is>
      </c>
    </row>
    <row r="64"/>
    <row r="65">
      <c r="A65" s="4" t="inlineStr">
        <is>
          <t>D.  MANDATORY SENSITIVITY TABLES  (standards s.3.2: FX / price tier / transition timing - 3 cases + explicit breakeven each; plus cost-side &amp; supply-side stresses)</t>
        </is>
      </c>
      <c r="B65" s="4" t="n"/>
      <c r="C65" s="4" t="n"/>
      <c r="D65" s="4" t="n"/>
      <c r="E65" s="4" t="n"/>
      <c r="F65" s="4" t="n"/>
      <c r="G65" s="4" t="n"/>
      <c r="H65" s="4" t="n"/>
      <c r="I65" s="4" t="n"/>
    </row>
    <row r="66">
      <c r="B66" s="41" t="inlineStr">
        <is>
          <t>T1.  FX - NZD/USD at FY28 (USD-reported outputs)</t>
        </is>
      </c>
      <c r="C66" s="41" t="n"/>
      <c r="D66" s="41" t="n"/>
      <c r="E66" s="41" t="n"/>
      <c r="F66" s="41" t="n"/>
      <c r="G66" s="41" t="n"/>
      <c r="H66" s="41" t="n"/>
      <c r="I66" s="41" t="n"/>
    </row>
    <row r="67">
      <c r="B67" s="5" t="inlineStr">
        <is>
          <t>Case</t>
        </is>
      </c>
      <c r="D67" s="35" t="inlineStr">
        <is>
          <t>NZD/USD</t>
        </is>
      </c>
      <c r="E67" s="35" t="inlineStr">
        <is>
          <t>Market rev FY28 (US$M)</t>
        </is>
      </c>
      <c r="F67" s="35" t="inlineStr">
        <is>
          <t>Aurora EBITDA FY28 (US$M)</t>
        </is>
      </c>
      <c r="G67" s="35" t="inlineStr">
        <is>
          <t>vs central</t>
        </is>
      </c>
    </row>
    <row r="68">
      <c r="B68" s="14" t="inlineStr">
        <is>
          <t>NZD weak</t>
        </is>
      </c>
      <c r="D68" s="32">
        <f>'Assumptions'!$D$195</f>
        <v/>
      </c>
      <c r="E68" s="29">
        <f>'Forecast_FY26_30'!$F$40*D68</f>
        <v/>
      </c>
      <c r="F68" s="8">
        <f>'Forecast_FY26_30'!$F$89*D68</f>
        <v/>
      </c>
      <c r="G68" s="54">
        <f>D68/'Assumptions'!$D$21-1</f>
        <v/>
      </c>
    </row>
    <row r="69">
      <c r="B69" s="5" t="inlineStr">
        <is>
          <t>Central (house FY28 forecast)</t>
        </is>
      </c>
      <c r="D69" s="32">
        <f>'Assumptions'!$D$21</f>
        <v/>
      </c>
      <c r="E69" s="29">
        <f>'Forecast_FY26_30'!$F$40*D69</f>
        <v/>
      </c>
      <c r="F69" s="8">
        <f>'Forecast_FY26_30'!$F$89*D69</f>
        <v/>
      </c>
      <c r="G69" s="54">
        <f>D69/'Assumptions'!$D$21-1</f>
        <v/>
      </c>
    </row>
    <row r="70">
      <c r="B70" s="14" t="inlineStr">
        <is>
          <t>NZD strong</t>
        </is>
      </c>
      <c r="D70" s="32">
        <f>'Assumptions'!$D$196</f>
        <v/>
      </c>
      <c r="E70" s="29">
        <f>'Forecast_FY26_30'!$F$40*D70</f>
        <v/>
      </c>
      <c r="F70" s="8">
        <f>'Forecast_FY26_30'!$F$89*D70</f>
        <v/>
      </c>
      <c r="G70" s="54">
        <f>D70/'Assumptions'!$D$21-1</f>
        <v/>
      </c>
    </row>
    <row r="71">
      <c r="B71" s="5" t="inlineStr">
        <is>
          <t>BREAKEVEN: rate at which FY28 market revenue (US$) merely matches FY24 actual (US$)</t>
        </is>
      </c>
      <c r="D71" s="32">
        <f>'Historical_Sizing'!$E$33*'Assumptions'!$D$17/'Forecast_FY26_30'!$F$40</f>
        <v/>
      </c>
      <c r="I71" s="3" t="inlineStr">
        <is>
          <t>~0.52 - i.e. ~16% below the house FY28 forecast of 0.620. Above ~0.52 the USD-reported market grows vs FY24; NZD depreciation is the channel through which an NZD-stable market shrinks in USD terms (it did FY23-FY25).</t>
        </is>
      </c>
    </row>
    <row r="72"/>
    <row r="73">
      <c r="B73" s="41" t="inlineStr">
        <is>
          <t>T2.  PRICE TIER - FR premium over barn at FY28 (S1 mechanics, premium isolated)</t>
        </is>
      </c>
      <c r="C73" s="41" t="n"/>
      <c r="D73" s="41" t="n"/>
      <c r="E73" s="41" t="n"/>
      <c r="F73" s="41" t="n"/>
      <c r="G73" s="41" t="n"/>
      <c r="H73" s="41" t="n"/>
      <c r="I73" s="41" t="n"/>
    </row>
    <row r="74">
      <c r="B74" s="5" t="inlineStr">
        <is>
          <t>Case</t>
        </is>
      </c>
      <c r="D74" s="35" t="inlineStr">
        <is>
          <t>FY28 premium</t>
        </is>
      </c>
      <c r="E74" s="35" t="inlineStr">
        <is>
          <t>Market rev FY28 (NZ$M)</t>
        </is>
      </c>
      <c r="F74" s="35" t="inlineStr">
        <is>
          <t>US$M</t>
        </is>
      </c>
      <c r="G74" s="35" t="inlineStr">
        <is>
          <t>Aurora EBITDA FY28 (NZ$M)</t>
        </is>
      </c>
    </row>
    <row r="75">
      <c r="B75" s="14" t="inlineStr">
        <is>
          <t>Collapse (Calthorpe downside 8-10%)</t>
        </is>
      </c>
      <c r="D75" s="36">
        <f>'Assumptions'!$F$189</f>
        <v/>
      </c>
      <c r="E75" s="29">
        <f>'Forecast_FY26_30'!$F$22*'Forecast_FY26_30'!$D$37*('Assumptions'!$F$174*'Forecast_FY26_30'!$F$32+'Assumptions'!$F$175*'Forecast_FY26_30'!$F$33+'Assumptions'!$F$176*'Forecast_FY26_30'!$F$33*(1+D75))</f>
        <v/>
      </c>
      <c r="F75" s="29">
        <f>E75*'Assumptions'!$D$21</f>
        <v/>
      </c>
      <c r="G75" s="8">
        <f>'Forecast_FY26_30'!$F$89+(D75-'Assumptions'!$F$177)*('Forecast_FY26_30'!$F$39*'Assumptions'!$D$59*'Assumptions'!$D$123)*'Forecast_FY26_30'!$F$33</f>
        <v/>
      </c>
    </row>
    <row r="76">
      <c r="B76" s="5" t="inlineStr">
        <is>
          <t>Central (trajectory 18-&gt;14-&gt;12)</t>
        </is>
      </c>
      <c r="D76" s="36">
        <f>'Assumptions'!$F$177</f>
        <v/>
      </c>
      <c r="E76" s="29">
        <f>'Forecast_FY26_30'!$F$22*'Forecast_FY26_30'!$D$37*('Assumptions'!$F$174*'Forecast_FY26_30'!$F$32+'Assumptions'!$F$175*'Forecast_FY26_30'!$F$33+'Assumptions'!$F$176*'Forecast_FY26_30'!$F$33*(1+D76))</f>
        <v/>
      </c>
      <c r="F76" s="29">
        <f>E76*'Assumptions'!$D$21</f>
        <v/>
      </c>
      <c r="G76" s="8">
        <f>'Forecast_FY26_30'!$F$89+(D76-'Assumptions'!$F$177)*('Forecast_FY26_30'!$F$39*'Assumptions'!$D$59*'Assumptions'!$D$123)*'Forecast_FY26_30'!$F$33</f>
        <v/>
      </c>
    </row>
    <row r="77">
      <c r="B77" s="14" t="inlineStr">
        <is>
          <t>Tight supply (upside 14-15%)</t>
        </is>
      </c>
      <c r="D77" s="36">
        <f>'Assumptions'!$F$183</f>
        <v/>
      </c>
      <c r="E77" s="29">
        <f>'Forecast_FY26_30'!$F$22*'Forecast_FY26_30'!$D$37*('Assumptions'!$F$174*'Forecast_FY26_30'!$F$32+'Assumptions'!$F$175*'Forecast_FY26_30'!$F$33+'Assumptions'!$F$176*'Forecast_FY26_30'!$F$33*(1+D77))</f>
        <v/>
      </c>
      <c r="F77" s="29">
        <f>E77*'Assumptions'!$D$21</f>
        <v/>
      </c>
      <c r="G77" s="8">
        <f>'Forecast_FY26_30'!$F$89+(D77-'Assumptions'!$F$177)*('Forecast_FY26_30'!$F$39*'Assumptions'!$D$59*'Assumptions'!$D$123)*'Forecast_FY26_30'!$F$33</f>
        <v/>
      </c>
    </row>
    <row r="78">
      <c r="B78" s="14" t="inlineStr">
        <is>
          <t>Sensitivity per premium point: market / Aurora EBITDA</t>
        </is>
      </c>
      <c r="E78" s="8">
        <f>0.01*'Assumptions'!$F$176*'Forecast_FY26_30'!$F$33*'Forecast_FY26_30'!$D$37*'Forecast_FY26_30'!$F$22</f>
        <v/>
      </c>
      <c r="G78" s="8">
        <f>0.01*('Forecast_FY26_30'!$F$39*'Assumptions'!$D$59*'Assumptions'!$D$123)*'Forecast_FY26_30'!$F$33</f>
        <v/>
      </c>
      <c r="I78" s="3" t="inlineStr">
        <is>
          <t>~NZ$3M market / ~NZ$0.2M Aurora EBITDA per premium point.</t>
        </is>
      </c>
    </row>
    <row r="79">
      <c r="B79" s="5" t="inlineStr">
        <is>
          <t>BREAKEVEN: premium at which Aurora FY28 EBITDA margin hits the 8% industry floor</t>
        </is>
      </c>
      <c r="D79" s="64">
        <f>'Assumptions'!$F$177-('Assumptions'!$F$152-0.08)*'Forecast_FY26_30'!$F$87/(('Forecast_FY26_30'!$F$39*'Assumptions'!$D$59*'Assumptions'!$D$123)*'Forecast_FY26_30'!$F$33)</f>
        <v/>
      </c>
      <c r="I79" s="10" t="inlineStr">
        <is>
          <t>Lands deeply negative (~-6%): premium compression ALONE cannot push Aurora to the industry floor - it is a ~NZ$0.2M/pp drag, not a solvency event. The EBITDA-defining variable is transition timing (T3) - premium risk compounds it but does not substitute for it.</t>
        </is>
      </c>
    </row>
    <row r="80"/>
    <row r="81">
      <c r="B81" s="41" t="inlineStr">
        <is>
          <t>T3.  TRANSITION TIMING - months of slippage past 1 Jan 2028 (Aurora)</t>
        </is>
      </c>
      <c r="C81" s="41" t="n"/>
      <c r="D81" s="41" t="n"/>
      <c r="E81" s="41" t="n"/>
      <c r="F81" s="41" t="n"/>
      <c r="G81" s="41" t="n"/>
      <c r="H81" s="41" t="n"/>
      <c r="I81" s="41" t="n"/>
    </row>
    <row r="82">
      <c r="B82" s="5" t="inlineStr">
        <is>
          <t>Case</t>
        </is>
      </c>
      <c r="D82" s="35" t="inlineStr">
        <is>
          <t>Slippage (months)</t>
        </is>
      </c>
      <c r="E82" s="35" t="inlineStr">
        <is>
          <t>Aurora EBITDA FY28 (NZ$M)</t>
        </is>
      </c>
      <c r="F82" s="35" t="inlineStr">
        <is>
          <t>US$M</t>
        </is>
      </c>
      <c r="G82" s="35" t="inlineStr">
        <is>
          <t>% of plan</t>
        </is>
      </c>
    </row>
    <row r="83">
      <c r="B83" s="5" t="inlineStr">
        <is>
          <t>On time (converted by 31 Dec 2027)</t>
        </is>
      </c>
      <c r="D83" s="7">
        <f>0</f>
        <v/>
      </c>
      <c r="E83" s="8">
        <f>'Forecast_FY26_30'!$F$89-D83/12*'Assumptions'!$D$149</f>
        <v/>
      </c>
      <c r="F83" s="8">
        <f>E83*'Assumptions'!$D$21</f>
        <v/>
      </c>
      <c r="G83" s="33">
        <f>E83/'Forecast_FY26_30'!$F$89</f>
        <v/>
      </c>
    </row>
    <row r="84">
      <c r="B84" s="14" t="inlineStr">
        <is>
          <t>6-month slip (early-2028 completion)</t>
        </is>
      </c>
      <c r="D84" s="27">
        <f>'Assumptions'!$D$197</f>
        <v/>
      </c>
      <c r="E84" s="8">
        <f>'Forecast_FY26_30'!$F$89-D84/12*'Assumptions'!$D$149</f>
        <v/>
      </c>
      <c r="F84" s="8">
        <f>E84*'Assumptions'!$D$21</f>
        <v/>
      </c>
      <c r="G84" s="33">
        <f>E84/'Forecast_FY26_30'!$F$89</f>
        <v/>
      </c>
    </row>
    <row r="85">
      <c r="B85" s="14" t="inlineStr">
        <is>
          <t>12-month slip (start-now realistic case)</t>
        </is>
      </c>
      <c r="D85" s="27">
        <f>'Assumptions'!$D$198</f>
        <v/>
      </c>
      <c r="E85" s="8">
        <f>'Forecast_FY26_30'!$F$89-D85/12*'Assumptions'!$D$149</f>
        <v/>
      </c>
      <c r="F85" s="8">
        <f>E85*'Assumptions'!$D$21</f>
        <v/>
      </c>
      <c r="G85" s="33">
        <f>E85/'Forecast_FY26_30'!$F$89</f>
        <v/>
      </c>
    </row>
    <row r="86">
      <c r="B86" s="5" t="inlineStr">
        <is>
          <t>BREAKEVEN: latest consent-lodgement consistent with on-time completion</t>
        </is>
      </c>
      <c r="D86" s="62">
        <f>EDATE(DATE(2027,12,31),-('Assumptions'!$D$144+'Assumptions'!$D$143))</f>
        <v/>
      </c>
      <c r="I86" s="10" t="inlineStr">
        <is>
          <t>Apr 2026 on the best-case non-notified path - already passed at model date. End-2027 stays live ONLY if consents were lodged/pre-lodged before now (P=~50% per Calthorpe); starting now -&gt; 2028 (P=~0%). THE single highest-value confirmatory question: one day of council-register work + one direct question to management.</t>
        </is>
      </c>
    </row>
    <row r="87"/>
    <row r="88">
      <c r="B88" s="41" t="inlineStr">
        <is>
          <t>T4.  INPUT-COST &amp; SUPPLY-SIDE STRESSES (Aurora FY28 EBITDA deltas; carried for the underwriting horizon)</t>
        </is>
      </c>
      <c r="C88" s="41" t="n"/>
      <c r="D88" s="41" t="n"/>
      <c r="E88" s="41" t="n"/>
      <c r="F88" s="41" t="n"/>
      <c r="G88" s="41" t="n"/>
      <c r="H88" s="41" t="n"/>
      <c r="I88" s="41" t="n"/>
    </row>
    <row r="89">
      <c r="B89" s="5" t="inlineStr">
        <is>
          <t>Stress</t>
        </is>
      </c>
      <c r="D89" s="35" t="inlineStr">
        <is>
          <t>Delta (NZ$M)</t>
        </is>
      </c>
      <c r="E89" s="35" t="inlineStr">
        <is>
          <t>Delta (US$M)</t>
        </is>
      </c>
      <c r="F89" s="35" t="inlineStr">
        <is>
          <t>% of plan EBITDA</t>
        </is>
      </c>
      <c r="G89" s="35" t="inlineStr">
        <is>
          <t>Recurring?</t>
        </is>
      </c>
    </row>
    <row r="90">
      <c r="B90" s="2" t="inlineStr">
        <is>
          <t>Feed +10% spot spike (2-quarter pass-through lag)</t>
        </is>
      </c>
      <c r="D90" s="65">
        <f>-'Assumptions'!$D$161/10000*'Forecast_FY26_30'!$F$87*0.5</f>
        <v/>
      </c>
      <c r="E90" s="65">
        <f>D90*'Assumptions'!$D$21</f>
        <v/>
      </c>
      <c r="F90" s="57">
        <f>D90/'Forecast_FY26_30'!$F$89</f>
        <v/>
      </c>
      <c r="G90" s="66" t="inlineStr">
        <is>
          <t>episodic</t>
        </is>
      </c>
      <c r="I90" s="3" t="inlineStr">
        <is>
          <t>Feed = 55-65% of variable cost; 80-110bps gross-margin hit for 1-2 quarters before Foodstuffs/Woolworths contract reviews catch up; no NZ grain futures hedge exists; Aurora holds 4-6 wks inventory vs Mainland captive 8-10 wks. Trigger precedent: 2023 dry summer / AU import tightness (wheat &gt;NZ$540/t).</t>
        </is>
      </c>
    </row>
    <row r="91">
      <c r="B91" s="2" t="inlineStr">
        <is>
          <t>Electricity re-tariff step-up at late-2027 renewal (FY28 onward)</t>
        </is>
      </c>
      <c r="D91" s="65">
        <f>-'Assumptions'!$D$164/10000*'Forecast_FY26_30'!$F$87*(1-'Assumptions'!$D$123)</f>
        <v/>
      </c>
      <c r="E91" s="65">
        <f>D91*'Assumptions'!$D$21</f>
        <v/>
      </c>
      <c r="F91" s="57">
        <f>D91/'Forecast_FY26_30'!$F$89</f>
        <v/>
      </c>
      <c r="G91" s="66" t="inlineStr">
        <is>
          <t>recurring</t>
        </is>
      </c>
      <c r="I91" s="3" t="inlineStr">
        <is>
          <t>Aurora renewed pre-spike in 2024; re-tariffs into the post-2025 price level (~+18-20% cumulative CY24-26) right as the new barn footprint lifts load. 150-220bps on the ~70% non-FR (climate-controlled) book. Lands with the new owner.</t>
        </is>
      </c>
    </row>
    <row r="92">
      <c r="B92" s="2" t="inlineStr">
        <is>
          <t>ETS re-inclusion of agriculture (downside; 2026 election trigger)</t>
        </is>
      </c>
      <c r="D92" s="65">
        <f>-'Assumptions'!$D$167</f>
        <v/>
      </c>
      <c r="E92" s="65">
        <f>D92*'Assumptions'!$D$21</f>
        <v/>
      </c>
      <c r="F92" s="57">
        <f>D92/'Forecast_FY26_30'!$F$89</f>
        <v/>
      </c>
      <c r="G92" s="66" t="inlineStr">
        <is>
          <t>recurring if enacted</t>
        </is>
      </c>
      <c r="I92" s="3" t="inlineStr">
        <is>
          <t>Currently NIL (removed 2024) but reversibly so; NZ$0.5-1.5M pa = 5-15% of FY24 EBITDA depending on scoping/free allocation. Downside scenario from FY28, not central.</t>
        </is>
      </c>
    </row>
    <row r="93">
      <c r="B93" s="2" t="inlineStr">
        <is>
          <t>Biosecurity event on one Aurora site (one-off)</t>
        </is>
      </c>
      <c r="D93" s="65">
        <f>-'Assumptions'!$D$168</f>
        <v/>
      </c>
      <c r="E93" s="65">
        <f>D93*'Assumptions'!$D$21</f>
        <v/>
      </c>
      <c r="F93" s="57">
        <f>D93/'Forecast_FY26_30'!$F$89</f>
        <v/>
      </c>
      <c r="G93" s="66" t="inlineStr">
        <is>
          <t>one-off</t>
        </is>
      </c>
      <c r="I93" s="3" t="inlineStr">
        <is>
          <t>H7N6-cleanout actuals NZ$2.8-3.4M (cull, clean, repopulate, interruption) = 25-35% of EBITDA in the impact year; two-site footprint halves but does not remove single-site concentration; insurance hardened +25-35% post-2024.</t>
        </is>
      </c>
    </row>
    <row r="94">
      <c r="B94" s="2" t="inlineStr">
        <is>
          <t>DOC supply re-tightening adds 2 quarters to conversion</t>
        </is>
      </c>
      <c r="D94" s="65">
        <f>-0.5*'Assumptions'!$D$149</f>
        <v/>
      </c>
      <c r="E94" s="65">
        <f>D94*'Assumptions'!$D$21</f>
        <v/>
      </c>
      <c r="F94" s="57">
        <f>D94/'Forecast_FY26_30'!$F$89</f>
        <v/>
      </c>
      <c r="G94" s="66" t="inlineStr">
        <is>
          <t>episodic</t>
        </is>
      </c>
      <c r="I94" s="3" t="inlineStr">
        <is>
          <t>Waitlist normalised to 4-5 months by mid-2026 but re-tightens if big producers hit the order book together into 2027 (EW Group controls ~75-80% of global layer genetics; NZ runs through Northern Hylines). Equivalent to 6 months of T3 slippage.</t>
        </is>
      </c>
    </row>
    <row r="95">
      <c r="B95" s="5" t="inlineStr">
        <is>
          <t>Combined recurring downside (feed annualised + electricity + ETS)</t>
        </is>
      </c>
      <c r="D95" s="65">
        <f>-'Assumptions'!$D$161/10000*'Forecast_FY26_30'!$F$87-'Assumptions'!$D$164/10000*'Forecast_FY26_30'!$F$87*(1-'Assumptions'!$D$123)-'Assumptions'!$D$167</f>
        <v/>
      </c>
      <c r="E95" s="65">
        <f>D95*'Assumptions'!$D$21</f>
        <v/>
      </c>
      <c r="F95" s="57">
        <f>D95/'Forecast_FY26_30'!$F$89</f>
        <v/>
      </c>
      <c r="I95" s="10" t="inlineStr">
        <is>
          <t>Order ~-NZ$3M = ~-25% of plan FY28 EBITDA if all three recur unmitigated - before any T3 slippage. Offsets in base: manure offtake +NZ$0.3-0.45M pa already inside reported EBITDA. Mitigants (post-close): feed-mill integration, multi-site tariff bundling, pass-through renegotiation.</t>
        </is>
      </c>
    </row>
    <row r="96"/>
    <row r="97">
      <c r="A97" s="4" t="inlineStr">
        <is>
          <t>E.  CONFIRMATORY-DD DATA REQUESTS THAT REFRESH THIS MODEL  (open questions - the IC owns the verdict)</t>
        </is>
      </c>
      <c r="B97" s="4" t="n"/>
      <c r="C97" s="4" t="n"/>
      <c r="D97" s="4" t="n"/>
      <c r="E97" s="4" t="n"/>
      <c r="F97" s="4" t="n"/>
      <c r="G97" s="4" t="n"/>
      <c r="H97" s="4" t="n"/>
      <c r="I97" s="4" t="n"/>
    </row>
    <row r="98">
      <c r="B98" s="3" t="inlineStr">
        <is>
          <t>1. Consent lodgement evidence - Selwyn + Waikato registers and any pre-lodgement engagement with council planners (resolves T3; Calthorpe: "Mark would know within 30 seconds").</t>
        </is>
      </c>
    </row>
    <row r="99">
      <c r="B99" s="3" t="inlineStr">
        <is>
          <t>2. Audited top-10 customer breakdown incl. Foodstuffs NI-vs-SI split - the 60-70% top-3 concentration figure is directional, not a model input of record.</t>
        </is>
      </c>
    </row>
    <row r="100">
      <c r="B100" s="3" t="inlineStr">
        <is>
          <t>3. FY24 adjusted-EBITDA bridge (NZ$10.8M reported vs NZ$12.6M adjusted) and audited volumes - resolves the 16-18% share triangulation spread.</t>
        </is>
      </c>
    </row>
    <row r="101">
      <c r="B101" s="3" t="inlineStr">
        <is>
          <t>4. Equipment order confirmation (Big Dutchman tranche, commissioning slot) + DOC order status vs the 9-14 month lead time.</t>
        </is>
      </c>
    </row>
    <row r="102">
      <c r="B102" s="3" t="inlineStr">
        <is>
          <t>5. Supply-agreement terms with Foodstuffs / Woolworths NZ - duration, notice, any cage-free clauses already inserted; PL-vs-branded gate spreads.</t>
        </is>
      </c>
    </row>
    <row r="103">
      <c r="B103" s="3" t="inlineStr">
        <is>
          <t>6. Electricity contract terms and re-tariff exposure at late-2027 renewal; feed-supply terms (Farmlands / NRM) and pass-through mechanics.</t>
        </is>
      </c>
    </row>
  </sheetData>
  <mergeCells count="7">
    <mergeCell ref="B99:H99"/>
    <mergeCell ref="B101:H101"/>
    <mergeCell ref="A2:I2"/>
    <mergeCell ref="B102:H102"/>
    <mergeCell ref="B100:H100"/>
    <mergeCell ref="B103:H103"/>
    <mergeCell ref="B98:H9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Halberd Capital Partners - deal team (preliminary outside-in CDD)</dc:creator>
  <dc:title xmlns:dc="http://purl.org/dc/elements/1.1/">Project Albatross - NZ Egg Market Model</dc:title>
  <dc:description xmlns:dc="http://purl.org/dc/elements/1.1/">NZ shell-egg market: historical sizing FY23-25 (top-down vs bottom-up, reconciled), five-year forecast FY26-30, cage-ban transition scenarios for the colony cohort to end-2027, Aurora Eggs overlay, consumer-demand and input-cost/supply-side sensitivities.</dc:description>
  <dcterms:created xmlns:dcterms="http://purl.org/dc/terms/" xmlns:xsi="http://www.w3.org/2001/XMLSchema-instance" xsi:type="dcterms:W3CDTF">2026-06-10T13:33:54Z</dcterms:created>
  <dcterms:modified xmlns:dcterms="http://purl.org/dc/terms/" xmlns:xsi="http://www.w3.org/2001/XMLSchema-instance" xsi:type="dcterms:W3CDTF">2026-06-10T13:33:54Z</dcterms:modified>
</cp:coreProperties>
</file>